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 yWindow="0" windowWidth="14736" windowHeight="11760" tabRatio="889"/>
  </bookViews>
  <sheets>
    <sheet name="Index" sheetId="42" r:id="rId1"/>
    <sheet name="WP 1" sheetId="34" r:id="rId2"/>
    <sheet name="WP 2" sheetId="6" r:id="rId3"/>
    <sheet name="WP 3" sheetId="4" r:id="rId4"/>
    <sheet name="WP 4" sheetId="21" r:id="rId5"/>
    <sheet name="WP 5" sheetId="14" r:id="rId6"/>
    <sheet name="WP 6" sheetId="2" r:id="rId7"/>
    <sheet name="WP 7" sheetId="7" r:id="rId8"/>
    <sheet name="WP 8" sheetId="1" r:id="rId9"/>
    <sheet name="WP 8a" sheetId="38" r:id="rId10"/>
    <sheet name="WP 9" sheetId="22" r:id="rId11"/>
    <sheet name="WP 10" sheetId="39" r:id="rId12"/>
    <sheet name="WP 10a" sheetId="41" r:id="rId13"/>
    <sheet name="WP 11" sheetId="13" r:id="rId14"/>
    <sheet name="WP 12" sheetId="5" r:id="rId15"/>
    <sheet name="WP 13" sheetId="15" r:id="rId16"/>
    <sheet name="WP 13a" sheetId="40" r:id="rId17"/>
    <sheet name="WP 14" sheetId="26" r:id="rId18"/>
    <sheet name="WP 15" sheetId="27" r:id="rId19"/>
    <sheet name="WP 16" sheetId="32" r:id="rId20"/>
    <sheet name="WP 17" sheetId="37" r:id="rId21"/>
  </sheets>
  <definedNames>
    <definedName name="__123Graph_B" localSheetId="16" hidden="1">#REF!</definedName>
    <definedName name="__123Graph_B" hidden="1">#REF!</definedName>
    <definedName name="__tet12" localSheetId="1" hidden="1">{"assumptions",#N/A,FALSE,"Scenario 1";"valuation",#N/A,FALSE,"Scenario 1"}</definedName>
    <definedName name="__tet12" localSheetId="16" hidden="1">{"assumptions",#N/A,FALSE,"Scenario 1";"valuation",#N/A,FALSE,"Scenario 1"}</definedName>
    <definedName name="__tet12" hidden="1">{"assumptions",#N/A,FALSE,"Scenario 1";"valuation",#N/A,FALSE,"Scenario 1"}</definedName>
    <definedName name="__tet5" localSheetId="1" hidden="1">{"assumptions",#N/A,FALSE,"Scenario 1";"valuation",#N/A,FALSE,"Scenario 1"}</definedName>
    <definedName name="__tet5" localSheetId="16" hidden="1">{"assumptions",#N/A,FALSE,"Scenario 1";"valuation",#N/A,FALSE,"Scenario 1"}</definedName>
    <definedName name="__tet5" hidden="1">{"assumptions",#N/A,FALSE,"Scenario 1";"valuation",#N/A,FALSE,"Scenario 1"}</definedName>
    <definedName name="_Dist_Bin" localSheetId="13" hidden="1">#REF!</definedName>
    <definedName name="_Dist_Bin" localSheetId="15" hidden="1">#REF!</definedName>
    <definedName name="_Dist_Bin" localSheetId="16" hidden="1">#REF!</definedName>
    <definedName name="_Dist_Bin" localSheetId="2" hidden="1">#REF!</definedName>
    <definedName name="_Dist_Bin" localSheetId="3" hidden="1">#REF!</definedName>
    <definedName name="_Dist_Bin" localSheetId="7" hidden="1">#REF!</definedName>
    <definedName name="_Dist_Bin" localSheetId="10" hidden="1">#REF!</definedName>
    <definedName name="_Dist_Bin" hidden="1">#REF!</definedName>
    <definedName name="_Dist_Values" localSheetId="13" hidden="1">#REF!</definedName>
    <definedName name="_Dist_Values" localSheetId="15" hidden="1">#REF!</definedName>
    <definedName name="_Dist_Values" localSheetId="16" hidden="1">#REF!</definedName>
    <definedName name="_Dist_Values" localSheetId="3" hidden="1">#REF!</definedName>
    <definedName name="_Dist_Values" localSheetId="7" hidden="1">#REF!</definedName>
    <definedName name="_Dist_Values" localSheetId="10" hidden="1">#REF!</definedName>
    <definedName name="_Dist_Values" hidden="1">#REF!</definedName>
    <definedName name="_Fill" localSheetId="13" hidden="1">#REF!</definedName>
    <definedName name="_Fill" localSheetId="15" hidden="1">#REF!</definedName>
    <definedName name="_Fill" localSheetId="16" hidden="1">#REF!</definedName>
    <definedName name="_Fill" localSheetId="3" hidden="1">#REF!</definedName>
    <definedName name="_Fill" localSheetId="7" hidden="1">#REF!</definedName>
    <definedName name="_Fill" localSheetId="10" hidden="1">#REF!</definedName>
    <definedName name="_Fill" hidden="1">#REF!</definedName>
    <definedName name="_Key1" localSheetId="13" hidden="1">#REF!</definedName>
    <definedName name="_Key1" localSheetId="15" hidden="1">#REF!</definedName>
    <definedName name="_Key1" localSheetId="16" hidden="1">#REF!</definedName>
    <definedName name="_Key1" localSheetId="10" hidden="1">#REF!</definedName>
    <definedName name="_Key1" hidden="1">#REF!</definedName>
    <definedName name="_MatInverse_In" localSheetId="13" hidden="1">#REF!</definedName>
    <definedName name="_MatInverse_In" localSheetId="16" hidden="1">#REF!</definedName>
    <definedName name="_MatInverse_In" localSheetId="10" hidden="1">#REF!</definedName>
    <definedName name="_MatInverse_In" hidden="1">#REF!</definedName>
    <definedName name="_MatInverse_Out" localSheetId="13" hidden="1">#REF!</definedName>
    <definedName name="_MatInverse_Out" localSheetId="16" hidden="1">#REF!</definedName>
    <definedName name="_MatInverse_Out" localSheetId="10" hidden="1">#REF!</definedName>
    <definedName name="_MatInverse_Out" hidden="1">#REF!</definedName>
    <definedName name="_MatMult_A" localSheetId="13" hidden="1">#REF!</definedName>
    <definedName name="_MatMult_A" localSheetId="16" hidden="1">#REF!</definedName>
    <definedName name="_MatMult_A" localSheetId="10" hidden="1">#REF!</definedName>
    <definedName name="_MatMult_A" hidden="1">#REF!</definedName>
    <definedName name="_MatMult_AxB" localSheetId="13" hidden="1">#REF!</definedName>
    <definedName name="_MatMult_AxB" localSheetId="16" hidden="1">#REF!</definedName>
    <definedName name="_MatMult_AxB" localSheetId="10" hidden="1">#REF!</definedName>
    <definedName name="_MatMult_AxB" hidden="1">#REF!</definedName>
    <definedName name="_MatMult_B" localSheetId="13" hidden="1">#REF!</definedName>
    <definedName name="_MatMult_B" localSheetId="16" hidden="1">#REF!</definedName>
    <definedName name="_MatMult_B" localSheetId="10" hidden="1">#REF!</definedName>
    <definedName name="_MatMult_B" hidden="1">#REF!</definedName>
    <definedName name="_Order1" hidden="1">255</definedName>
    <definedName name="_Order2" hidden="1">255</definedName>
    <definedName name="_Parse_In" localSheetId="13" hidden="1">#REF!</definedName>
    <definedName name="_Parse_In" localSheetId="15" hidden="1">#REF!</definedName>
    <definedName name="_Parse_In" localSheetId="16" hidden="1">#REF!</definedName>
    <definedName name="_Parse_In" localSheetId="2" hidden="1">#REF!</definedName>
    <definedName name="_Parse_In" localSheetId="3" hidden="1">#REF!</definedName>
    <definedName name="_Parse_In" localSheetId="7" hidden="1">#REF!</definedName>
    <definedName name="_Parse_In" localSheetId="10" hidden="1">#REF!</definedName>
    <definedName name="_Parse_In" hidden="1">#REF!</definedName>
    <definedName name="_Parse_Out" localSheetId="13" hidden="1">#REF!</definedName>
    <definedName name="_Parse_Out" localSheetId="16" hidden="1">#REF!</definedName>
    <definedName name="_Parse_Out" localSheetId="3" hidden="1">#REF!</definedName>
    <definedName name="_Parse_Out" localSheetId="7" hidden="1">#REF!</definedName>
    <definedName name="_Parse_Out" localSheetId="10" hidden="1">#REF!</definedName>
    <definedName name="_Parse_Out" hidden="1">#REF!</definedName>
    <definedName name="_Regression_Out" localSheetId="13" hidden="1">#REF!</definedName>
    <definedName name="_Regression_Out" localSheetId="16" hidden="1">#REF!</definedName>
    <definedName name="_Regression_Out" localSheetId="3" hidden="1">#REF!</definedName>
    <definedName name="_Regression_Out" localSheetId="7" hidden="1">#REF!</definedName>
    <definedName name="_Regression_Out" localSheetId="10" hidden="1">#REF!</definedName>
    <definedName name="_Regression_Out" hidden="1">#REF!</definedName>
    <definedName name="_Regression_X" localSheetId="13" hidden="1">#REF!</definedName>
    <definedName name="_Regression_X" localSheetId="16" hidden="1">#REF!</definedName>
    <definedName name="_Regression_X" localSheetId="10" hidden="1">#REF!</definedName>
    <definedName name="_Regression_X" hidden="1">#REF!</definedName>
    <definedName name="_Regression_Y" localSheetId="13" hidden="1">#REF!</definedName>
    <definedName name="_Regression_Y" localSheetId="16" hidden="1">#REF!</definedName>
    <definedName name="_Regression_Y" localSheetId="10" hidden="1">#REF!</definedName>
    <definedName name="_Regression_Y" hidden="1">#REF!</definedName>
    <definedName name="_Sort" localSheetId="1" hidden="1">#REF!</definedName>
    <definedName name="_Sort" localSheetId="13" hidden="1">#REF!</definedName>
    <definedName name="_Sort" localSheetId="16" hidden="1">#REF!</definedName>
    <definedName name="_Sort" localSheetId="10" hidden="1">#REF!</definedName>
    <definedName name="_Sort" hidden="1">#REF!</definedName>
    <definedName name="_Table1_Out" localSheetId="13" hidden="1">#REF!</definedName>
    <definedName name="_Table1_Out" localSheetId="16" hidden="1">#REF!</definedName>
    <definedName name="_Table1_Out" localSheetId="10" hidden="1">#REF!</definedName>
    <definedName name="_Table1_Out" hidden="1">#REF!</definedName>
    <definedName name="_tet12" localSheetId="1" hidden="1">{"assumptions",#N/A,FALSE,"Scenario 1";"valuation",#N/A,FALSE,"Scenario 1"}</definedName>
    <definedName name="_tet12" localSheetId="16" hidden="1">{"assumptions",#N/A,FALSE,"Scenario 1";"valuation",#N/A,FALSE,"Scenario 1"}</definedName>
    <definedName name="_tet12" hidden="1">{"assumptions",#N/A,FALSE,"Scenario 1";"valuation",#N/A,FALSE,"Scenario 1"}</definedName>
    <definedName name="_tet5" localSheetId="1" hidden="1">{"assumptions",#N/A,FALSE,"Scenario 1";"valuation",#N/A,FALSE,"Scenario 1"}</definedName>
    <definedName name="_tet5" localSheetId="16" hidden="1">{"assumptions",#N/A,FALSE,"Scenario 1";"valuation",#N/A,FALSE,"Scenario 1"}</definedName>
    <definedName name="_tet5" hidden="1">{"assumptions",#N/A,FALSE,"Scenario 1";"valuation",#N/A,FALSE,"Scenario 1"}</definedName>
    <definedName name="a" localSheetId="1" hidden="1">{"LBO Summary",#N/A,FALSE,"Summary"}</definedName>
    <definedName name="a" localSheetId="16" hidden="1">{"LBO Summary",#N/A,FALSE,"Summary"}</definedName>
    <definedName name="a" hidden="1">{"LBO Summary",#N/A,FALSE,"Summary"}</definedName>
    <definedName name="AS2DocOpenMode" hidden="1">"AS2DocumentEdit"</definedName>
    <definedName name="gIsBlank" localSheetId="13" hidden="1">ISBLANK(gIsRef)</definedName>
    <definedName name="gIsBlank" localSheetId="15" hidden="1">ISBLANK(gIsRef)</definedName>
    <definedName name="gIsBlank" localSheetId="16" hidden="1">ISBLANK(gIsRef)</definedName>
    <definedName name="gIsBlank" localSheetId="17" hidden="1">ISBLANK(gIsRef)</definedName>
    <definedName name="gIsBlank" localSheetId="2" hidden="1">ISBLANK(gIsRef)</definedName>
    <definedName name="gIsBlank" localSheetId="3" hidden="1">ISBLANK(gIsRef)</definedName>
    <definedName name="gIsBlank" localSheetId="7" hidden="1">ISBLANK(gIsRef)</definedName>
    <definedName name="gIsBlank" localSheetId="10" hidden="1">ISBLANK(gIsRef)</definedName>
    <definedName name="gIsBlank" hidden="1">ISBLANK(gIsRef)</definedName>
    <definedName name="gIsError" localSheetId="13" hidden="1">ISERROR(gIsRef)</definedName>
    <definedName name="gIsError" localSheetId="15" hidden="1">ISERROR(gIsRef)</definedName>
    <definedName name="gIsError" localSheetId="16" hidden="1">ISERROR(gIsRef)</definedName>
    <definedName name="gIsError" localSheetId="17" hidden="1">ISERROR(gIsRef)</definedName>
    <definedName name="gIsError" localSheetId="2" hidden="1">ISERROR(gIsRef)</definedName>
    <definedName name="gIsError" localSheetId="3" hidden="1">ISERROR(gIsRef)</definedName>
    <definedName name="gIsError" localSheetId="7" hidden="1">ISERROR(gIsRef)</definedName>
    <definedName name="gIsError" localSheetId="10" hidden="1">ISERROR(gIsRef)</definedName>
    <definedName name="gIsError" hidden="1">ISERROR(gIsRef)</definedName>
    <definedName name="gIsInPrintArea" localSheetId="13" hidden="1">NOT(ISERROR(gIsRef !Print_Area))</definedName>
    <definedName name="gIsInPrintArea" localSheetId="15" hidden="1">NOT(ISERROR(gIsRef !Print_Area))</definedName>
    <definedName name="gIsInPrintArea" localSheetId="16" hidden="1">NOT(ISERROR(gIsRef !Print_Area))</definedName>
    <definedName name="gIsInPrintArea" localSheetId="17" hidden="1">NOT(ISERROR(gIsRef !Print_Area))</definedName>
    <definedName name="gIsInPrintArea" localSheetId="2" hidden="1">NOT(ISERROR(gIsRef !Print_Area))</definedName>
    <definedName name="gIsInPrintArea" localSheetId="3" hidden="1">NOT(ISERROR(gIsRef !Print_Area))</definedName>
    <definedName name="gIsInPrintArea" localSheetId="7" hidden="1">NOT(ISERROR(gIsRef !Print_Area))</definedName>
    <definedName name="gIsInPrintArea" localSheetId="10" hidden="1">NOT(ISERROR(gIsRef !Print_Area))</definedName>
    <definedName name="gIsInPrintArea" hidden="1">NOT(ISERROR(gIsRef !Print_Area))</definedName>
    <definedName name="gIsInPrintTitles" localSheetId="13" hidden="1">NOT(ISERROR(gIsRef !Print_Titles))</definedName>
    <definedName name="gIsInPrintTitles" localSheetId="15" hidden="1">NOT(ISERROR(gIsRef !Print_Titles))</definedName>
    <definedName name="gIsInPrintTitles" localSheetId="16" hidden="1">NOT(ISERROR(gIsRef !Print_Titles))</definedName>
    <definedName name="gIsInPrintTitles" localSheetId="17" hidden="1">NOT(ISERROR(gIsRef !Print_Titles))</definedName>
    <definedName name="gIsInPrintTitles" localSheetId="2" hidden="1">NOT(ISERROR(gIsRef !Print_Titles))</definedName>
    <definedName name="gIsInPrintTitles" localSheetId="3" hidden="1">NOT(ISERROR(gIsRef !Print_Titles))</definedName>
    <definedName name="gIsInPrintTitles" localSheetId="7" hidden="1">NOT(ISERROR(gIsRef !Print_Titles))</definedName>
    <definedName name="gIsInPrintTitles" localSheetId="10" hidden="1">NOT(ISERROR(gIsRef !Print_Titles))</definedName>
    <definedName name="gIsInPrintTitles" hidden="1">NOT(ISERROR(gIsRef !Print_Titles))</definedName>
    <definedName name="gIsNumber" localSheetId="13" hidden="1">ISNUMBER(gIsRef)</definedName>
    <definedName name="gIsNumber" localSheetId="15" hidden="1">ISNUMBER(gIsRef)</definedName>
    <definedName name="gIsNumber" localSheetId="16" hidden="1">ISNUMBER(gIsRef)</definedName>
    <definedName name="gIsNumber" localSheetId="17" hidden="1">ISNUMBER(gIsRef)</definedName>
    <definedName name="gIsNumber" localSheetId="2" hidden="1">ISNUMBER(gIsRef)</definedName>
    <definedName name="gIsNumber" localSheetId="3" hidden="1">ISNUMBER(gIsRef)</definedName>
    <definedName name="gIsNumber" localSheetId="7" hidden="1">ISNUMBER(gIsRef)</definedName>
    <definedName name="gIsNumber" localSheetId="10" hidden="1">ISNUMBER(gIsRef)</definedName>
    <definedName name="gIsNumber" hidden="1">ISNUMBER(gIsRef)</definedName>
    <definedName name="gIsPreviousSheet" localSheetId="13" hidden="1">PrevShtCellValue(gIsRef)&lt;&gt;gIsRef</definedName>
    <definedName name="gIsPreviousSheet" localSheetId="15" hidden="1">PrevShtCellValue(gIsRef)&lt;&gt;gIsRef</definedName>
    <definedName name="gIsPreviousSheet" localSheetId="16" hidden="1">PrevShtCellValue(gIsRef)&lt;&gt;gIsRef</definedName>
    <definedName name="gIsPreviousSheet" localSheetId="17" hidden="1">PrevShtCellValue(gIsRef)&lt;&gt;gIsRef</definedName>
    <definedName name="gIsPreviousSheet" localSheetId="2" hidden="1">PrevShtCellValue(gIsRef)&lt;&gt;gIsRef</definedName>
    <definedName name="gIsPreviousSheet" localSheetId="3" hidden="1">PrevShtCellValue(gIsRef)&lt;&gt;gIsRef</definedName>
    <definedName name="gIsPreviousSheet" localSheetId="7" hidden="1">PrevShtCellValue(gIsRef)&lt;&gt;gIsRef</definedName>
    <definedName name="gIsPreviousSheet" localSheetId="10" hidden="1">PrevShtCellValue(gIsRef)&lt;&gt;gIsRef</definedName>
    <definedName name="gIsPreviousSheet" hidden="1">PrevShtCellValue(gIsRef)&lt;&gt;gIsRef</definedName>
    <definedName name="gIsRef" hidden="1">INDIRECT("rc",FALSE)</definedName>
    <definedName name="gIsText" localSheetId="13" hidden="1">ISTEXT(gIsRef)</definedName>
    <definedName name="gIsText" localSheetId="15" hidden="1">ISTEXT(gIsRef)</definedName>
    <definedName name="gIsText" localSheetId="16" hidden="1">ISTEXT(gIsRef)</definedName>
    <definedName name="gIsText" localSheetId="17" hidden="1">ISTEXT(gIsRef)</definedName>
    <definedName name="gIsText" localSheetId="2" hidden="1">ISTEXT(gIsRef)</definedName>
    <definedName name="gIsText" localSheetId="3" hidden="1">ISTEXT(gIsRef)</definedName>
    <definedName name="gIsText" localSheetId="7" hidden="1">ISTEXT(gIsRef)</definedName>
    <definedName name="gIsText" localSheetId="10" hidden="1">ISTEXT(gIsRef)</definedName>
    <definedName name="gIsText" hidden="1">ISTEXT(gIsRef)</definedName>
    <definedName name="_xlnm.Print_Area" localSheetId="1">'WP 1'!$A$1:$D$299</definedName>
    <definedName name="_xlnm.Print_Area" localSheetId="11">'WP 10'!$A$1:$O$29</definedName>
    <definedName name="_xlnm.Print_Area" localSheetId="12">'WP 10a'!$A$1:$N$34</definedName>
    <definedName name="_xlnm.Print_Area" localSheetId="13">'WP 11'!$A$1:$F$25</definedName>
    <definedName name="_xlnm.Print_Area" localSheetId="15">'WP 13'!$A$1:$E$33</definedName>
    <definedName name="_xlnm.Print_Area" localSheetId="9">'WP 8a'!$A$1:$H$49</definedName>
    <definedName name="test" localSheetId="1" hidden="1">{"LBO Summary",#N/A,FALSE,"Summary"}</definedName>
    <definedName name="test" localSheetId="16" hidden="1">{"LBO Summary",#N/A,FALSE,"Summary"}</definedName>
    <definedName name="test" hidden="1">{"LBO Summary",#N/A,FALSE,"Summary"}</definedName>
    <definedName name="test1" localSheetId="1" hidden="1">{"LBO Summary",#N/A,FALSE,"Summary";"Income Statement",#N/A,FALSE,"Model";"Cash Flow",#N/A,FALSE,"Model";"Balance Sheet",#N/A,FALSE,"Model";"Working Capital",#N/A,FALSE,"Model";"Pro Forma Balance Sheets",#N/A,FALSE,"PFBS";"Debt Balances",#N/A,FALSE,"Model";"Fee Schedules",#N/A,FALSE,"Model"}</definedName>
    <definedName name="test1" localSheetId="16"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 hidden="1">{"LBO Summary",#N/A,FALSE,"Summary";"Income Statement",#N/A,FALSE,"Model";"Cash Flow",#N/A,FALSE,"Model";"Balance Sheet",#N/A,FALSE,"Model";"Working Capital",#N/A,FALSE,"Model";"Pro Forma Balance Sheets",#N/A,FALSE,"PFBS";"Debt Balances",#N/A,FALSE,"Model";"Fee Schedules",#N/A,FALSE,"Model"}</definedName>
    <definedName name="test10" localSheetId="16"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 hidden="1">{"LBO Summary",#N/A,FALSE,"Summary"}</definedName>
    <definedName name="test11" localSheetId="16" hidden="1">{"LBO Summary",#N/A,FALSE,"Summary"}</definedName>
    <definedName name="test11" hidden="1">{"LBO Summary",#N/A,FALSE,"Summary"}</definedName>
    <definedName name="test12" localSheetId="1" hidden="1">{"assumptions",#N/A,FALSE,"Scenario 1";"valuation",#N/A,FALSE,"Scenario 1"}</definedName>
    <definedName name="test12" localSheetId="16" hidden="1">{"assumptions",#N/A,FALSE,"Scenario 1";"valuation",#N/A,FALSE,"Scenario 1"}</definedName>
    <definedName name="test12" hidden="1">{"assumptions",#N/A,FALSE,"Scenario 1";"valuation",#N/A,FALSE,"Scenario 1"}</definedName>
    <definedName name="test13" localSheetId="1" hidden="1">{"LBO Summary",#N/A,FALSE,"Summary"}</definedName>
    <definedName name="test13" localSheetId="16" hidden="1">{"LBO Summary",#N/A,FALSE,"Summary"}</definedName>
    <definedName name="test13" hidden="1">{"LBO Summary",#N/A,FALSE,"Summary"}</definedName>
    <definedName name="test14" localSheetId="1" hidden="1">{"LBO Summary",#N/A,FALSE,"Summary";"Income Statement",#N/A,FALSE,"Model";"Cash Flow",#N/A,FALSE,"Model";"Balance Sheet",#N/A,FALSE,"Model";"Working Capital",#N/A,FALSE,"Model";"Pro Forma Balance Sheets",#N/A,FALSE,"PFBS";"Debt Balances",#N/A,FALSE,"Model";"Fee Schedules",#N/A,FALSE,"Model"}</definedName>
    <definedName name="test14" localSheetId="16"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 hidden="1">{"LBO Summary",#N/A,FALSE,"Summary";"Income Statement",#N/A,FALSE,"Model";"Cash Flow",#N/A,FALSE,"Model";"Balance Sheet",#N/A,FALSE,"Model";"Working Capital",#N/A,FALSE,"Model";"Pro Forma Balance Sheets",#N/A,FALSE,"PFBS";"Debt Balances",#N/A,FALSE,"Model";"Fee Schedules",#N/A,FALSE,"Model"}</definedName>
    <definedName name="test15" localSheetId="16"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 hidden="1">{"LBO Summary",#N/A,FALSE,"Summary";"Income Statement",#N/A,FALSE,"Model";"Cash Flow",#N/A,FALSE,"Model";"Balance Sheet",#N/A,FALSE,"Model";"Working Capital",#N/A,FALSE,"Model";"Pro Forma Balance Sheets",#N/A,FALSE,"PFBS";"Debt Balances",#N/A,FALSE,"Model";"Fee Schedules",#N/A,FALSE,"Model"}</definedName>
    <definedName name="test16" localSheetId="16"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 hidden="1">{"LBO Summary",#N/A,FALSE,"Summary"}</definedName>
    <definedName name="test2" localSheetId="16" hidden="1">{"LBO Summary",#N/A,FALSE,"Summary"}</definedName>
    <definedName name="test2" hidden="1">{"LBO Summary",#N/A,FALSE,"Summary"}</definedName>
    <definedName name="test4" localSheetId="1" hidden="1">{"assumptions",#N/A,FALSE,"Scenario 1";"valuation",#N/A,FALSE,"Scenario 1"}</definedName>
    <definedName name="test4" localSheetId="16" hidden="1">{"assumptions",#N/A,FALSE,"Scenario 1";"valuation",#N/A,FALSE,"Scenario 1"}</definedName>
    <definedName name="test4" hidden="1">{"assumptions",#N/A,FALSE,"Scenario 1";"valuation",#N/A,FALSE,"Scenario 1"}</definedName>
    <definedName name="test6" localSheetId="1" hidden="1">{"LBO Summary",#N/A,FALSE,"Summary"}</definedName>
    <definedName name="test6" localSheetId="16" hidden="1">{"LBO Summary",#N/A,FALSE,"Summary"}</definedName>
    <definedName name="test6" hidden="1">{"LBO Summary",#N/A,FALSE,"Summary"}</definedName>
    <definedName name="TextRefCopyRangeCount" hidden="1">1</definedName>
    <definedName name="Value" localSheetId="1" hidden="1">{"assumptions",#N/A,FALSE,"Scenario 1";"valuation",#N/A,FALSE,"Scenario 1"}</definedName>
    <definedName name="Value" localSheetId="16" hidden="1">{"assumptions",#N/A,FALSE,"Scenario 1";"valuation",#N/A,FALSE,"Scenario 1"}</definedName>
    <definedName name="Value" hidden="1">{"assumptions",#N/A,FALSE,"Scenario 1";"valuation",#N/A,FALSE,"Scenario 1"}</definedName>
    <definedName name="wrn.ARKANSAS." localSheetId="13" hidden="1">{#N/A,#N/A,FALSE,"LOCAL.XLS"}</definedName>
    <definedName name="wrn.ARKANSAS." localSheetId="15" hidden="1">{#N/A,#N/A,FALSE,"LOCAL.XLS"}</definedName>
    <definedName name="wrn.ARKANSAS." localSheetId="16" hidden="1">{#N/A,#N/A,FALSE,"LOCAL.XLS"}</definedName>
    <definedName name="wrn.ARKANSAS." localSheetId="17" hidden="1">{#N/A,#N/A,FALSE,"LOCAL.XLS"}</definedName>
    <definedName name="wrn.ARKANSAS." localSheetId="2" hidden="1">{#N/A,#N/A,FALSE,"LOCAL.XLS"}</definedName>
    <definedName name="wrn.ARKANSAS." localSheetId="3" hidden="1">{#N/A,#N/A,FALSE,"LOCAL.XLS"}</definedName>
    <definedName name="wrn.ARKANSAS." localSheetId="7" hidden="1">{#N/A,#N/A,FALSE,"LOCAL.XLS"}</definedName>
    <definedName name="wrn.ARKANSAS." localSheetId="10" hidden="1">{#N/A,#N/A,FALSE,"LOCAL.XLS"}</definedName>
    <definedName name="wrn.ARKANSAS." hidden="1">{#N/A,#N/A,FALSE,"LOCAL.XLS"}</definedName>
    <definedName name="wrn.IPO._.Valuation." localSheetId="1" hidden="1">{"assumptions",#N/A,FALSE,"Scenario 1";"valuation",#N/A,FALSE,"Scenario 1"}</definedName>
    <definedName name="wrn.IPO._.Valuation." localSheetId="16" hidden="1">{"assumptions",#N/A,FALSE,"Scenario 1";"valuation",#N/A,FALSE,"Scenario 1"}</definedName>
    <definedName name="wrn.IPO._.Valuation." hidden="1">{"assumptions",#N/A,FALSE,"Scenario 1";"valuation",#N/A,FALSE,"Scenario 1"}</definedName>
    <definedName name="wrn.LBO._.Summary." localSheetId="1" hidden="1">{"LBO Summary",#N/A,FALSE,"Summary"}</definedName>
    <definedName name="wrn.LBO._.Summary." localSheetId="16" hidden="1">{"LBO Summary",#N/A,FALSE,"Summary"}</definedName>
    <definedName name="wrn.LBO._.Summary." hidden="1">{"LBO Summary",#N/A,FALSE,"Summary"}</definedName>
    <definedName name="wrn.LOUISIANA." localSheetId="13" hidden="1">{#N/A,#N/A,FALSE,"LOCAL.XLS"}</definedName>
    <definedName name="wrn.LOUISIANA." localSheetId="15" hidden="1">{#N/A,#N/A,FALSE,"LOCAL.XLS"}</definedName>
    <definedName name="wrn.LOUISIANA." localSheetId="16" hidden="1">{#N/A,#N/A,FALSE,"LOCAL.XLS"}</definedName>
    <definedName name="wrn.LOUISIANA." localSheetId="17" hidden="1">{#N/A,#N/A,FALSE,"LOCAL.XLS"}</definedName>
    <definedName name="wrn.LOUISIANA." localSheetId="2" hidden="1">{#N/A,#N/A,FALSE,"LOCAL.XLS"}</definedName>
    <definedName name="wrn.LOUISIANA." localSheetId="3" hidden="1">{#N/A,#N/A,FALSE,"LOCAL.XLS"}</definedName>
    <definedName name="wrn.LOUISIANA." localSheetId="7" hidden="1">{#N/A,#N/A,FALSE,"LOCAL.XLS"}</definedName>
    <definedName name="wrn.LOUISIANA." localSheetId="10" hidden="1">{#N/A,#N/A,FALSE,"LOCAL.XLS"}</definedName>
    <definedName name="wrn.LOUISIANA." hidden="1">{#N/A,#N/A,FALSE,"LOCAL.XLS"}</definedName>
    <definedName name="wrn.Print._.All._.Pages." localSheetId="1" hidden="1">{"LBO Summary",#N/A,FALSE,"Summary";"Income Statement",#N/A,FALSE,"Model";"Cash Flow",#N/A,FALSE,"Model";"Balance Sheet",#N/A,FALSE,"Model";"Working Capital",#N/A,FALSE,"Model";"Pro Forma Balance Sheets",#N/A,FALSE,"PFBS";"Debt Balances",#N/A,FALSE,"Model";"Fee Schedules",#N/A,FALSE,"Model"}</definedName>
    <definedName name="wrn.Print._.All._.Pages." localSheetId="16"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16"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ummary." localSheetId="11" hidden="1">{#N/A,#N/A,FALSE,"AP&amp;L"}</definedName>
    <definedName name="wrn.summary." localSheetId="13" hidden="1">{#N/A,#N/A,FALSE,"AP&amp;L"}</definedName>
    <definedName name="wrn.summary." localSheetId="15" hidden="1">{#N/A,#N/A,FALSE,"AP&amp;L"}</definedName>
    <definedName name="wrn.summary." localSheetId="16" hidden="1">{#N/A,#N/A,FALSE,"AP&amp;L"}</definedName>
    <definedName name="wrn.summary." localSheetId="17" hidden="1">{#N/A,#N/A,FALSE,"AP&amp;L"}</definedName>
    <definedName name="wrn.summary." localSheetId="2" hidden="1">{#N/A,#N/A,FALSE,"AP&amp;L"}</definedName>
    <definedName name="wrn.summary." localSheetId="3" hidden="1">{#N/A,#N/A,FALSE,"AP&amp;L"}</definedName>
    <definedName name="wrn.summary." localSheetId="7" hidden="1">{#N/A,#N/A,FALSE,"AP&amp;L"}</definedName>
    <definedName name="wrn.summary." localSheetId="10" hidden="1">{#N/A,#N/A,FALSE,"AP&amp;L"}</definedName>
    <definedName name="wrn.summary." hidden="1">{#N/A,#N/A,FALSE,"AP&amp;L"}</definedName>
  </definedNames>
  <calcPr calcId="145621" iterate="1" iterateDelta="0.01" calcOnSave="0" concurrentCalc="0"/>
</workbook>
</file>

<file path=xl/calcChain.xml><?xml version="1.0" encoding="utf-8"?>
<calcChain xmlns="http://schemas.openxmlformats.org/spreadsheetml/2006/main">
  <c r="A3" i="42" l="1"/>
  <c r="E11" i="15"/>
  <c r="E16" i="15"/>
  <c r="E18" i="15"/>
  <c r="E21" i="15"/>
  <c r="E24" i="15"/>
  <c r="E28" i="15"/>
  <c r="E29" i="15"/>
  <c r="E31" i="15"/>
  <c r="D185" i="34"/>
  <c r="N10" i="39"/>
  <c r="O10" i="39"/>
  <c r="N11" i="39"/>
  <c r="O11" i="39"/>
  <c r="N12" i="39"/>
  <c r="O12" i="39"/>
  <c r="N13" i="39"/>
  <c r="O13" i="39"/>
  <c r="N14" i="39"/>
  <c r="O14" i="39"/>
  <c r="N15" i="39"/>
  <c r="O15" i="39"/>
  <c r="N16" i="39"/>
  <c r="O16" i="39"/>
  <c r="N17" i="39"/>
  <c r="O17" i="39"/>
  <c r="N18" i="39"/>
  <c r="O18" i="39"/>
  <c r="N19" i="39"/>
  <c r="O19" i="39"/>
  <c r="N20" i="39"/>
  <c r="O20" i="39"/>
  <c r="N9" i="39"/>
  <c r="O9" i="39"/>
  <c r="M11" i="39"/>
  <c r="M12" i="39"/>
  <c r="M13" i="39"/>
  <c r="M14" i="39"/>
  <c r="M15" i="39"/>
  <c r="M16" i="39"/>
  <c r="M17" i="39"/>
  <c r="M18" i="39"/>
  <c r="M19" i="39"/>
  <c r="M20" i="39"/>
  <c r="M9" i="39"/>
  <c r="M10" i="39"/>
  <c r="M22" i="39"/>
  <c r="N22" i="39"/>
  <c r="O22" i="39"/>
  <c r="K26" i="26"/>
  <c r="K27" i="26"/>
  <c r="K28" i="26"/>
  <c r="C30" i="40"/>
  <c r="J8" i="7"/>
  <c r="J9" i="7"/>
  <c r="J10" i="7"/>
  <c r="J11" i="7"/>
  <c r="J12" i="7"/>
  <c r="J7" i="7"/>
  <c r="B12" i="38"/>
  <c r="H19" i="38"/>
  <c r="H18" i="38"/>
  <c r="H17" i="38"/>
  <c r="H20" i="38"/>
  <c r="F17" i="38"/>
  <c r="G17" i="38"/>
  <c r="F18" i="38"/>
  <c r="G18" i="38"/>
  <c r="F19" i="38"/>
  <c r="G19" i="38"/>
  <c r="G20" i="38"/>
  <c r="F20" i="38"/>
  <c r="E20" i="38"/>
  <c r="D20" i="38"/>
  <c r="C20" i="38"/>
  <c r="J28" i="26"/>
  <c r="I28" i="26"/>
  <c r="H28" i="26"/>
  <c r="G28" i="26"/>
  <c r="F28" i="26"/>
  <c r="E28" i="26"/>
  <c r="J29" i="26"/>
  <c r="F29" i="26"/>
  <c r="K33" i="26"/>
  <c r="D140" i="34"/>
  <c r="A12" i="26"/>
  <c r="A13" i="26"/>
  <c r="A14" i="26"/>
  <c r="A15" i="26"/>
  <c r="A16" i="26"/>
  <c r="A17" i="26"/>
  <c r="A18" i="26"/>
  <c r="A19" i="26"/>
  <c r="A20" i="26"/>
  <c r="A21" i="26"/>
  <c r="A22" i="26"/>
  <c r="A23" i="26"/>
  <c r="A26" i="26"/>
  <c r="A27" i="26"/>
  <c r="A28" i="26"/>
  <c r="A29" i="26"/>
  <c r="A32" i="26"/>
  <c r="A33" i="26"/>
  <c r="A34" i="26"/>
  <c r="A37" i="26"/>
  <c r="A38" i="26"/>
  <c r="A39" i="26"/>
  <c r="E18" i="32"/>
  <c r="C5" i="1"/>
  <c r="C25" i="1"/>
  <c r="E27" i="15"/>
  <c r="E14" i="15"/>
  <c r="E8" i="15"/>
  <c r="E7" i="15"/>
  <c r="C39" i="40"/>
  <c r="C21" i="40"/>
  <c r="C12" i="40"/>
  <c r="M24" i="39"/>
  <c r="D283" i="34"/>
  <c r="L24" i="39"/>
  <c r="K24" i="39"/>
  <c r="J24" i="39"/>
  <c r="I24" i="39"/>
  <c r="H24" i="39"/>
  <c r="G24" i="39"/>
  <c r="F24" i="39"/>
  <c r="L22" i="39"/>
  <c r="K22" i="39"/>
  <c r="J22" i="39"/>
  <c r="I22" i="39"/>
  <c r="H22" i="39"/>
  <c r="G22" i="39"/>
  <c r="F22" i="39"/>
  <c r="F16" i="32"/>
  <c r="D126" i="34"/>
  <c r="D127" i="34"/>
  <c r="D129" i="34"/>
  <c r="D125" i="34"/>
  <c r="A116" i="34"/>
  <c r="D109" i="34"/>
  <c r="D95" i="34"/>
  <c r="D84" i="34"/>
  <c r="D270" i="34"/>
  <c r="D32" i="14"/>
  <c r="D179" i="34"/>
  <c r="D42" i="14"/>
  <c r="D180" i="34"/>
  <c r="D14" i="34"/>
  <c r="D191" i="34"/>
  <c r="D268" i="34"/>
  <c r="D260" i="34"/>
  <c r="D248" i="34"/>
  <c r="F32" i="32"/>
  <c r="F34" i="32"/>
  <c r="F35" i="32"/>
  <c r="F36" i="32"/>
  <c r="F38" i="32"/>
  <c r="D85" i="34"/>
  <c r="D87" i="34"/>
  <c r="D86" i="34"/>
  <c r="D197" i="34"/>
  <c r="D199" i="34"/>
  <c r="D200" i="34"/>
  <c r="D205" i="34"/>
  <c r="E22" i="32"/>
  <c r="E30" i="32"/>
  <c r="E23" i="32"/>
  <c r="E25" i="32"/>
  <c r="E26" i="32"/>
  <c r="E27" i="32"/>
  <c r="E28" i="32"/>
  <c r="E29" i="32"/>
  <c r="D212" i="34"/>
  <c r="E32" i="32"/>
  <c r="E34" i="32"/>
  <c r="E35" i="32"/>
  <c r="E38" i="32"/>
  <c r="D213" i="34"/>
  <c r="D215" i="34"/>
  <c r="E36" i="32"/>
  <c r="E40" i="32"/>
  <c r="D218" i="34"/>
  <c r="D220" i="34"/>
  <c r="D223" i="34"/>
  <c r="D226" i="34"/>
  <c r="E41" i="32"/>
  <c r="D227" i="34"/>
  <c r="D231" i="34"/>
  <c r="F44" i="32"/>
  <c r="F45" i="32"/>
  <c r="F46" i="32"/>
  <c r="F47" i="32"/>
  <c r="F48" i="32"/>
  <c r="F49" i="32"/>
  <c r="F50" i="32"/>
  <c r="D110" i="34"/>
  <c r="D111" i="34"/>
  <c r="F51" i="32"/>
  <c r="F52" i="32"/>
  <c r="F53" i="32"/>
  <c r="F54" i="32"/>
  <c r="F55" i="32"/>
  <c r="D96" i="34"/>
  <c r="D97" i="34"/>
  <c r="D106" i="34"/>
  <c r="D101" i="34"/>
  <c r="D102" i="34"/>
  <c r="D104" i="34"/>
  <c r="D105" i="34"/>
  <c r="D107" i="34"/>
  <c r="D112" i="34"/>
  <c r="D117" i="34"/>
  <c r="D77" i="34"/>
  <c r="D78" i="34"/>
  <c r="D23" i="34"/>
  <c r="D10" i="34"/>
  <c r="D18" i="34"/>
  <c r="D71" i="34"/>
  <c r="D43" i="34"/>
  <c r="D52" i="34"/>
  <c r="D39" i="34"/>
  <c r="D47" i="34"/>
  <c r="D60" i="34"/>
  <c r="D61" i="34"/>
  <c r="D64" i="34"/>
  <c r="D65" i="34"/>
  <c r="D68" i="34"/>
  <c r="D69" i="34"/>
  <c r="D136" i="34"/>
  <c r="D146" i="34"/>
  <c r="D149" i="34"/>
  <c r="D155" i="34"/>
  <c r="D156" i="34"/>
  <c r="D157" i="34"/>
  <c r="D158" i="34"/>
  <c r="D169" i="34"/>
  <c r="E9" i="15"/>
  <c r="A117" i="34"/>
  <c r="A118" i="34"/>
  <c r="A119" i="34"/>
  <c r="A121" i="34"/>
  <c r="A122" i="34"/>
  <c r="A124" i="34"/>
  <c r="A125" i="34"/>
  <c r="A126" i="34"/>
  <c r="A127" i="34"/>
  <c r="A128" i="34"/>
  <c r="A129" i="34"/>
  <c r="A131" i="34"/>
  <c r="A133" i="34"/>
  <c r="A134" i="34"/>
  <c r="A135" i="34"/>
  <c r="A136" i="34"/>
  <c r="A137" i="34"/>
  <c r="A138" i="34"/>
  <c r="A139" i="34"/>
  <c r="A140" i="34"/>
  <c r="A141" i="34"/>
  <c r="A142" i="34"/>
  <c r="A143" i="34"/>
  <c r="A144" i="34"/>
  <c r="A145" i="34"/>
  <c r="A146" i="34"/>
  <c r="A147" i="34"/>
  <c r="A148" i="34"/>
  <c r="A149" i="34"/>
  <c r="A150" i="34"/>
  <c r="A151" i="34"/>
  <c r="A152" i="34"/>
  <c r="A153" i="34"/>
  <c r="A154" i="34"/>
  <c r="A155" i="34"/>
  <c r="A156" i="34"/>
  <c r="A157" i="34"/>
  <c r="A158" i="34"/>
  <c r="A159" i="34"/>
  <c r="A160" i="34"/>
  <c r="A161" i="34"/>
  <c r="A162" i="34"/>
  <c r="A163" i="34"/>
  <c r="A164" i="34"/>
  <c r="A165" i="34"/>
  <c r="A166" i="34"/>
  <c r="A167" i="34"/>
  <c r="A168" i="34"/>
  <c r="A169" i="34"/>
  <c r="A170" i="34"/>
  <c r="A172" i="34"/>
  <c r="A173" i="34"/>
  <c r="A174" i="34"/>
  <c r="A175" i="34"/>
  <c r="A176" i="34"/>
  <c r="A178" i="34"/>
  <c r="A179" i="34"/>
  <c r="A180" i="34"/>
  <c r="A182" i="34"/>
  <c r="A183" i="34"/>
  <c r="A185" i="34"/>
  <c r="A187" i="34"/>
  <c r="A188" i="34"/>
  <c r="A190" i="34"/>
  <c r="A191" i="34"/>
  <c r="A193" i="34"/>
  <c r="A194" i="34"/>
  <c r="A195" i="34"/>
  <c r="A196" i="34"/>
  <c r="A197" i="34"/>
  <c r="A198" i="34"/>
  <c r="A199" i="34"/>
  <c r="A200" i="34"/>
  <c r="A201" i="34"/>
  <c r="A203" i="34"/>
  <c r="A204" i="34"/>
  <c r="A205" i="34"/>
  <c r="A206" i="34"/>
  <c r="A207" i="34"/>
  <c r="A208" i="34"/>
  <c r="A209" i="34"/>
  <c r="A211" i="34"/>
  <c r="A212" i="34"/>
  <c r="A213" i="34"/>
  <c r="A214" i="34"/>
  <c r="A215" i="34"/>
  <c r="A217" i="34"/>
  <c r="A218" i="34"/>
  <c r="A219" i="34"/>
  <c r="A220" i="34"/>
  <c r="A222" i="34"/>
  <c r="A223" i="34"/>
  <c r="A224" i="34"/>
  <c r="A225" i="34"/>
  <c r="A226" i="34"/>
  <c r="A227" i="34"/>
  <c r="A228" i="34"/>
  <c r="A229" i="34"/>
  <c r="A230" i="34"/>
  <c r="A231" i="34"/>
  <c r="A233" i="34"/>
  <c r="A235" i="34"/>
  <c r="A236" i="34"/>
  <c r="A237" i="34"/>
  <c r="A238" i="34"/>
  <c r="A240" i="34"/>
  <c r="A241" i="34"/>
  <c r="A242" i="34"/>
  <c r="A243" i="34"/>
  <c r="A244" i="34"/>
  <c r="A245" i="34"/>
  <c r="A246" i="34"/>
  <c r="A247" i="34"/>
  <c r="A248" i="34"/>
  <c r="A250" i="34"/>
  <c r="A252" i="34"/>
  <c r="A253" i="34"/>
  <c r="A254" i="34"/>
  <c r="A256" i="34"/>
  <c r="A257" i="34"/>
  <c r="A258" i="34"/>
  <c r="A259" i="34"/>
  <c r="A260" i="34"/>
  <c r="A262" i="34"/>
  <c r="A263" i="34"/>
  <c r="A264" i="34"/>
  <c r="A266" i="34"/>
  <c r="A267" i="34"/>
  <c r="A268" i="34"/>
  <c r="A270" i="34"/>
  <c r="A271" i="34"/>
  <c r="A273" i="34"/>
  <c r="A274" i="34"/>
  <c r="A276" i="34"/>
  <c r="J13" i="7"/>
  <c r="H13" i="7"/>
  <c r="F8" i="7"/>
  <c r="F9" i="7"/>
  <c r="F10" i="7"/>
  <c r="F11" i="7"/>
  <c r="F12" i="7"/>
  <c r="F7" i="7"/>
  <c r="C13" i="7"/>
  <c r="D13" i="7"/>
  <c r="E13" i="7"/>
  <c r="F13" i="7"/>
  <c r="B13" i="7"/>
  <c r="D38" i="14"/>
  <c r="D39" i="14"/>
  <c r="D40" i="14"/>
  <c r="D41" i="14"/>
  <c r="D37" i="14"/>
  <c r="D28" i="14"/>
  <c r="D29" i="14"/>
  <c r="D30" i="14"/>
  <c r="D31" i="14"/>
  <c r="D27" i="14"/>
  <c r="D18" i="14"/>
  <c r="D19" i="14"/>
  <c r="D20" i="14"/>
  <c r="D21" i="14"/>
  <c r="D22" i="14"/>
  <c r="D17" i="14"/>
  <c r="C14" i="14"/>
  <c r="D9" i="14"/>
  <c r="D10" i="14"/>
  <c r="D11" i="14"/>
  <c r="D12" i="14"/>
  <c r="D13" i="14"/>
  <c r="D8" i="14"/>
  <c r="D292" i="34"/>
  <c r="F17" i="21"/>
  <c r="F14" i="21"/>
  <c r="E7" i="22"/>
  <c r="E8" i="22"/>
  <c r="E9" i="22"/>
  <c r="E10" i="22"/>
  <c r="E11" i="22"/>
  <c r="E6" i="22"/>
  <c r="E12" i="22"/>
  <c r="C12" i="22"/>
  <c r="D12" i="22"/>
  <c r="B12" i="22"/>
  <c r="A5" i="34"/>
  <c r="A6" i="34"/>
  <c r="A7" i="34"/>
  <c r="A8" i="34"/>
  <c r="A9" i="34"/>
  <c r="A10" i="34"/>
  <c r="A12" i="34"/>
  <c r="A13" i="34"/>
  <c r="A14" i="34"/>
  <c r="A16" i="34"/>
  <c r="A17" i="34"/>
  <c r="A18" i="34"/>
  <c r="A20" i="34"/>
  <c r="A21" i="34"/>
  <c r="A22" i="34"/>
  <c r="A23" i="34"/>
  <c r="A25" i="34"/>
  <c r="A26" i="34"/>
  <c r="A28" i="34"/>
  <c r="A29" i="34"/>
  <c r="A30" i="34"/>
  <c r="A31" i="34"/>
  <c r="A32" i="34"/>
  <c r="A33" i="34"/>
  <c r="A34" i="34"/>
  <c r="A35" i="34"/>
  <c r="A36" i="34"/>
  <c r="A37" i="34"/>
  <c r="A38" i="34"/>
  <c r="A39" i="34"/>
  <c r="A41" i="34"/>
  <c r="A42" i="34"/>
  <c r="A43" i="34"/>
  <c r="A45" i="34"/>
  <c r="A46" i="34"/>
  <c r="A47" i="34"/>
  <c r="A49" i="34"/>
  <c r="A50" i="34"/>
  <c r="A51" i="34"/>
  <c r="A52" i="34"/>
  <c r="A54" i="34"/>
  <c r="A55" i="34"/>
  <c r="A57" i="34"/>
  <c r="A58" i="34"/>
  <c r="A59" i="34"/>
  <c r="A60" i="34"/>
  <c r="A61" i="34"/>
  <c r="A63" i="34"/>
  <c r="A64" i="34"/>
  <c r="A65" i="34"/>
  <c r="A67" i="34"/>
  <c r="A68" i="34"/>
  <c r="A69" i="34"/>
  <c r="A71" i="34"/>
  <c r="A73" i="34"/>
  <c r="A74" i="34"/>
  <c r="A75" i="34"/>
  <c r="A76" i="34"/>
  <c r="A77" i="34"/>
  <c r="A78" i="34"/>
  <c r="A80" i="34"/>
  <c r="A82" i="34"/>
  <c r="A83" i="34"/>
  <c r="A84" i="34"/>
  <c r="A85" i="34"/>
  <c r="A86" i="34"/>
  <c r="A87" i="34"/>
  <c r="A89" i="34"/>
  <c r="A90" i="34"/>
  <c r="A91" i="34"/>
  <c r="A93" i="34"/>
  <c r="A94" i="34"/>
  <c r="A95" i="34"/>
  <c r="A96" i="34"/>
  <c r="A97" i="34"/>
  <c r="A98" i="34"/>
  <c r="A100" i="34"/>
  <c r="A101" i="34"/>
  <c r="A102" i="34"/>
  <c r="A103" i="34"/>
  <c r="A104" i="34"/>
  <c r="A105" i="34"/>
  <c r="A106" i="34"/>
  <c r="A107" i="34"/>
  <c r="A108" i="34"/>
  <c r="A109" i="34"/>
  <c r="A110" i="34"/>
  <c r="A111" i="34"/>
  <c r="A112" i="34"/>
  <c r="A114" i="34"/>
  <c r="A115" i="34"/>
  <c r="A3" i="2"/>
  <c r="A3" i="1"/>
  <c r="A3" i="7"/>
  <c r="A3" i="21"/>
  <c r="M10" i="2"/>
  <c r="L10" i="2"/>
  <c r="K10" i="2"/>
  <c r="J10" i="2"/>
  <c r="I10" i="2"/>
  <c r="H10" i="2"/>
  <c r="G10" i="2"/>
  <c r="F10" i="2"/>
  <c r="E10" i="2"/>
  <c r="D10" i="2"/>
  <c r="C10" i="2"/>
  <c r="B10" i="2"/>
  <c r="D201" i="34"/>
  <c r="D153" i="34"/>
  <c r="E17" i="21"/>
  <c r="E14" i="21"/>
  <c r="E9" i="21"/>
  <c r="E19" i="21"/>
  <c r="F9" i="21"/>
  <c r="F19" i="21"/>
  <c r="G19" i="21"/>
  <c r="D293" i="34"/>
  <c r="E18" i="6"/>
  <c r="E20" i="6"/>
  <c r="E19" i="6"/>
  <c r="D55" i="34"/>
  <c r="D26" i="34"/>
  <c r="C53" i="27"/>
  <c r="C54" i="27"/>
  <c r="C55" i="27"/>
  <c r="C56" i="27"/>
  <c r="C57" i="27"/>
  <c r="C58" i="27"/>
  <c r="C59" i="27"/>
  <c r="C63" i="27"/>
  <c r="D17" i="27"/>
  <c r="H17" i="27"/>
  <c r="D18" i="27"/>
  <c r="H18" i="27"/>
  <c r="D19" i="27"/>
  <c r="H19" i="27"/>
  <c r="D20" i="27"/>
  <c r="H20" i="27"/>
  <c r="H53" i="27"/>
  <c r="D21" i="27"/>
  <c r="H21" i="27"/>
  <c r="H54" i="27"/>
  <c r="D22" i="27"/>
  <c r="H22" i="27"/>
  <c r="H55" i="27"/>
  <c r="D23" i="27"/>
  <c r="H23" i="27"/>
  <c r="D24" i="27"/>
  <c r="H24" i="27"/>
  <c r="D25" i="27"/>
  <c r="H25" i="27"/>
  <c r="D26" i="27"/>
  <c r="H26" i="27"/>
  <c r="D27" i="27"/>
  <c r="H27" i="27"/>
  <c r="D28" i="27"/>
  <c r="H28" i="27"/>
  <c r="H56" i="27"/>
  <c r="D29" i="27"/>
  <c r="H29" i="27"/>
  <c r="D30" i="27"/>
  <c r="H30" i="27"/>
  <c r="D31" i="27"/>
  <c r="H31" i="27"/>
  <c r="D32" i="27"/>
  <c r="H32" i="27"/>
  <c r="D33" i="27"/>
  <c r="H33" i="27"/>
  <c r="D34" i="27"/>
  <c r="H34" i="27"/>
  <c r="D35" i="27"/>
  <c r="H35" i="27"/>
  <c r="H57" i="27"/>
  <c r="D36" i="27"/>
  <c r="H36" i="27"/>
  <c r="D37" i="27"/>
  <c r="H37" i="27"/>
  <c r="H58" i="27"/>
  <c r="D38" i="27"/>
  <c r="H38" i="27"/>
  <c r="H59" i="27"/>
  <c r="D39" i="27"/>
  <c r="H39" i="27"/>
  <c r="D40" i="27"/>
  <c r="H40" i="27"/>
  <c r="D41" i="27"/>
  <c r="H41" i="27"/>
  <c r="D42" i="27"/>
  <c r="H42" i="27"/>
  <c r="D43" i="27"/>
  <c r="H43" i="27"/>
  <c r="D44" i="27"/>
  <c r="H44" i="27"/>
  <c r="D45" i="27"/>
  <c r="H45" i="27"/>
  <c r="D46" i="27"/>
  <c r="H46" i="27"/>
  <c r="D47" i="27"/>
  <c r="H47" i="27"/>
  <c r="D48" i="27"/>
  <c r="H48" i="27"/>
  <c r="D49" i="27"/>
  <c r="H49" i="27"/>
  <c r="H60" i="27"/>
  <c r="H61" i="27"/>
  <c r="F53" i="27"/>
  <c r="F54" i="27"/>
  <c r="F55" i="27"/>
  <c r="F56" i="27"/>
  <c r="F57" i="27"/>
  <c r="F58" i="27"/>
  <c r="F59" i="27"/>
  <c r="F60" i="27"/>
  <c r="F61" i="27"/>
  <c r="D53" i="27"/>
  <c r="D54" i="27"/>
  <c r="D55" i="27"/>
  <c r="D56" i="27"/>
  <c r="D57" i="27"/>
  <c r="D58" i="27"/>
  <c r="D59" i="27"/>
  <c r="D60" i="27"/>
  <c r="D61" i="27"/>
  <c r="C60" i="27"/>
  <c r="C61" i="27"/>
  <c r="B53" i="27"/>
  <c r="B54" i="27"/>
  <c r="B55" i="27"/>
  <c r="B56" i="27"/>
  <c r="B57" i="27"/>
  <c r="B58" i="27"/>
  <c r="B59" i="27"/>
  <c r="B60" i="27"/>
  <c r="B61" i="27"/>
  <c r="A61" i="27"/>
  <c r="H50" i="27"/>
  <c r="F50" i="27"/>
  <c r="D50" i="27"/>
  <c r="C50" i="27"/>
  <c r="B50" i="27"/>
  <c r="G23" i="26"/>
  <c r="C23" i="26"/>
  <c r="F11" i="32"/>
  <c r="F12" i="32"/>
  <c r="F18" i="32"/>
  <c r="D141" i="34"/>
  <c r="D142" i="34"/>
  <c r="F22" i="32"/>
  <c r="F30" i="32"/>
  <c r="F42" i="32"/>
  <c r="F56" i="32"/>
  <c r="F23" i="32"/>
  <c r="F25" i="32"/>
  <c r="F26" i="32"/>
  <c r="F27" i="32"/>
  <c r="F28" i="32"/>
  <c r="F29" i="32"/>
  <c r="F40" i="32"/>
  <c r="F41" i="32"/>
  <c r="E11" i="32"/>
  <c r="E12" i="32"/>
  <c r="E16" i="32"/>
  <c r="E44" i="32"/>
  <c r="E55" i="32"/>
  <c r="E45" i="32"/>
  <c r="E46" i="32"/>
  <c r="E47" i="32"/>
  <c r="E48" i="32"/>
  <c r="E49" i="32"/>
  <c r="E50" i="32"/>
  <c r="E51" i="32"/>
  <c r="E52" i="32"/>
  <c r="E53" i="32"/>
  <c r="E54" i="32"/>
  <c r="D11" i="32"/>
  <c r="D12" i="32"/>
  <c r="D16" i="32"/>
  <c r="D18" i="32"/>
  <c r="D22" i="32"/>
  <c r="D23" i="32"/>
  <c r="D25" i="32"/>
  <c r="D30" i="32"/>
  <c r="D42" i="32"/>
  <c r="D56" i="32"/>
  <c r="D26" i="32"/>
  <c r="D27" i="32"/>
  <c r="D28" i="32"/>
  <c r="D29" i="32"/>
  <c r="D32" i="32"/>
  <c r="D34" i="32"/>
  <c r="D38" i="32"/>
  <c r="D35" i="32"/>
  <c r="D36" i="32"/>
  <c r="D40" i="32"/>
  <c r="D41" i="32"/>
  <c r="D44" i="32"/>
  <c r="D45" i="32"/>
  <c r="D46" i="32"/>
  <c r="D55" i="32"/>
  <c r="D47" i="32"/>
  <c r="D48" i="32"/>
  <c r="D49" i="32"/>
  <c r="D50" i="32"/>
  <c r="D51" i="32"/>
  <c r="D52" i="32"/>
  <c r="D53" i="32"/>
  <c r="D54" i="32"/>
  <c r="E16" i="6"/>
  <c r="E12" i="6"/>
  <c r="C10" i="34"/>
  <c r="C14" i="34"/>
  <c r="C18" i="34"/>
  <c r="C23" i="34"/>
  <c r="C26" i="34"/>
  <c r="C39" i="34"/>
  <c r="C43" i="34"/>
  <c r="C47" i="34"/>
  <c r="C52" i="34"/>
  <c r="C55" i="34"/>
  <c r="C61" i="34"/>
  <c r="C65" i="34"/>
  <c r="C69" i="34"/>
  <c r="C87" i="34"/>
  <c r="C91" i="34"/>
  <c r="D91" i="34"/>
  <c r="C97" i="34"/>
  <c r="C102" i="34"/>
  <c r="C106" i="34"/>
  <c r="C107" i="34"/>
  <c r="C111" i="34"/>
  <c r="C112" i="34"/>
  <c r="C117" i="34"/>
  <c r="C127" i="34"/>
  <c r="C129" i="34"/>
  <c r="C142" i="34"/>
  <c r="C149" i="34"/>
  <c r="C153" i="34"/>
  <c r="C169" i="34"/>
  <c r="C200" i="34"/>
  <c r="C209" i="34"/>
  <c r="C215" i="34"/>
  <c r="C220" i="34"/>
  <c r="C231" i="34"/>
  <c r="C233" i="34"/>
  <c r="C248" i="34"/>
  <c r="C260" i="34"/>
  <c r="A277" i="34"/>
  <c r="A279" i="34"/>
  <c r="A280" i="34"/>
  <c r="A282" i="34"/>
  <c r="A283" i="34"/>
  <c r="A284" i="34"/>
  <c r="A285" i="34"/>
  <c r="A286" i="34"/>
  <c r="A287" i="34"/>
  <c r="A288" i="34"/>
  <c r="A289" i="34"/>
  <c r="A291" i="34"/>
  <c r="A292" i="34"/>
  <c r="A293" i="34"/>
  <c r="A294" i="34"/>
  <c r="A296" i="34"/>
  <c r="A297" i="34"/>
  <c r="A298" i="34"/>
  <c r="A1" i="32"/>
  <c r="D43" i="14"/>
  <c r="C43" i="14"/>
  <c r="B43" i="14"/>
  <c r="D33" i="14"/>
  <c r="C33" i="14"/>
  <c r="B33" i="14"/>
  <c r="D23" i="14"/>
  <c r="B23" i="14"/>
  <c r="D14" i="14"/>
  <c r="B14" i="14"/>
  <c r="M15" i="5"/>
  <c r="K15" i="5"/>
  <c r="I15" i="5"/>
  <c r="G15" i="5"/>
  <c r="E15" i="5"/>
  <c r="C15" i="5"/>
  <c r="G14" i="4"/>
  <c r="F14" i="4"/>
  <c r="E14" i="4"/>
  <c r="D14" i="4"/>
  <c r="C14" i="4"/>
  <c r="B14" i="4"/>
  <c r="D58" i="32"/>
  <c r="F58" i="32"/>
  <c r="E42" i="32"/>
  <c r="E56" i="32"/>
  <c r="E58" i="32"/>
  <c r="D206" i="34"/>
  <c r="D209" i="34"/>
  <c r="F37" i="26"/>
  <c r="F39" i="26"/>
  <c r="F32" i="26"/>
  <c r="F34" i="26"/>
  <c r="J32" i="26"/>
  <c r="J34" i="26"/>
  <c r="D297" i="34"/>
  <c r="J37" i="26"/>
  <c r="J39" i="26"/>
  <c r="D298" i="34"/>
  <c r="I29" i="26"/>
  <c r="G29" i="26"/>
  <c r="E29" i="26"/>
  <c r="H29" i="26"/>
  <c r="D233" i="34"/>
  <c r="H37" i="26"/>
  <c r="H39" i="26"/>
  <c r="H32" i="26"/>
  <c r="H34" i="26"/>
  <c r="E37" i="26"/>
  <c r="E32" i="26"/>
  <c r="K29" i="26"/>
  <c r="G37" i="26"/>
  <c r="G39" i="26"/>
  <c r="G32" i="26"/>
  <c r="G34" i="26"/>
  <c r="I37" i="26"/>
  <c r="I39" i="26"/>
  <c r="I32" i="26"/>
  <c r="I34" i="26"/>
  <c r="K32" i="26"/>
  <c r="E34" i="26"/>
  <c r="K34" i="26"/>
  <c r="K37" i="26"/>
  <c r="K39" i="26"/>
  <c r="E39" i="26"/>
</calcChain>
</file>

<file path=xl/sharedStrings.xml><?xml version="1.0" encoding="utf-8"?>
<sst xmlns="http://schemas.openxmlformats.org/spreadsheetml/2006/main" count="1189" uniqueCount="750">
  <si>
    <t>Entergy Texas, Inc.</t>
  </si>
  <si>
    <t>456104 - Cwl Transmission Revenue</t>
  </si>
  <si>
    <t>456111 - Non-Firm Transmission Revenue</t>
  </si>
  <si>
    <t>456112 - Short Term Firm Transm Revenue</t>
  </si>
  <si>
    <t>456113 - Long Term Firm Transm Revenue</t>
  </si>
  <si>
    <t>456102 - Gia Annual Fees</t>
  </si>
  <si>
    <t>456108 - Schdlg Syst Control &amp; Dispatch</t>
  </si>
  <si>
    <t>456127 - RTO &amp; ICT Operations Costs Rec</t>
  </si>
  <si>
    <t>4561FR - FFR Transm Revenue</t>
  </si>
  <si>
    <t>456117 - Reg &amp; Freq Response Trans Rev</t>
  </si>
  <si>
    <t>456118 - Spinning Reserve Ptp Tran Rev</t>
  </si>
  <si>
    <t>Total per Book 456.1 Account</t>
  </si>
  <si>
    <t>(1)</t>
  </si>
  <si>
    <t>Note:</t>
  </si>
  <si>
    <t>ENTERGY TEXAS, INC.</t>
  </si>
  <si>
    <t>PLANT IN SERVICE</t>
  </si>
  <si>
    <t>DESCRIPTION</t>
  </si>
  <si>
    <t xml:space="preserve">  STEP-UP FACILITIES</t>
  </si>
  <si>
    <t xml:space="preserve">  OTHER TRANS.</t>
  </si>
  <si>
    <t>TRANSMISSION</t>
  </si>
  <si>
    <t>TOTAL</t>
  </si>
  <si>
    <t>YEAR</t>
  </si>
  <si>
    <t>MONTH</t>
  </si>
  <si>
    <t>DAY</t>
  </si>
  <si>
    <t>HOUR</t>
  </si>
  <si>
    <t>ETI</t>
  </si>
  <si>
    <t>ETEC - NITS</t>
  </si>
  <si>
    <t>CITY OF CALDWELL - NITS</t>
  </si>
  <si>
    <t>CITY OF KIRBYVILLE - N ITS</t>
  </si>
  <si>
    <t>CITY OF NEWTON - N ITS</t>
  </si>
  <si>
    <t>BRAZOS</t>
  </si>
  <si>
    <t>F</t>
  </si>
  <si>
    <t>Entergy Services Inc.</t>
  </si>
  <si>
    <t>Land Held for Future Use</t>
  </si>
  <si>
    <t>EAI</t>
  </si>
  <si>
    <t>EGSL</t>
  </si>
  <si>
    <t>ELL</t>
  </si>
  <si>
    <t>EMI</t>
  </si>
  <si>
    <t>ENO</t>
  </si>
  <si>
    <t>Steam Production</t>
  </si>
  <si>
    <t>Nuclear Production</t>
  </si>
  <si>
    <t>Hydraulic Production</t>
  </si>
  <si>
    <t>Transmission</t>
  </si>
  <si>
    <t>Distribution</t>
  </si>
  <si>
    <t>RTMO</t>
  </si>
  <si>
    <t>General</t>
  </si>
  <si>
    <t>Total</t>
  </si>
  <si>
    <t>(1) Ties to Form 1 Pg 214.47.d</t>
  </si>
  <si>
    <t>Entergy Services, Inc.</t>
  </si>
  <si>
    <t>Taxes Other Charged By Affiliates</t>
  </si>
  <si>
    <t>In Accordance With FERC Form I  - Page 263</t>
  </si>
  <si>
    <t>Description</t>
  </si>
  <si>
    <t>408110 - Employment Taxes</t>
  </si>
  <si>
    <t>408122- Excise Tax State</t>
  </si>
  <si>
    <t>408123- Excise Tax Federal</t>
  </si>
  <si>
    <t>408142 - Ad Valorem</t>
  </si>
  <si>
    <t>408152 - Franchise Tax - State</t>
  </si>
  <si>
    <t>408165 - City Occupation Tax</t>
  </si>
  <si>
    <t>Totals</t>
  </si>
  <si>
    <t>ADIT- Fas 109 Offset</t>
  </si>
  <si>
    <t>Business Unit</t>
  </si>
  <si>
    <t>Type</t>
  </si>
  <si>
    <t>Account</t>
  </si>
  <si>
    <t>Account Desc</t>
  </si>
  <si>
    <t>TX000</t>
  </si>
  <si>
    <t>ADIT</t>
  </si>
  <si>
    <t>190701</t>
  </si>
  <si>
    <t>Fas 109 Adjustment - Fed</t>
  </si>
  <si>
    <t>190702</t>
  </si>
  <si>
    <t>Fas 109 Adjustment - State</t>
  </si>
  <si>
    <t>282701</t>
  </si>
  <si>
    <t>283701</t>
  </si>
  <si>
    <t>283702</t>
  </si>
  <si>
    <t>ADIT Total</t>
  </si>
  <si>
    <t>Offset</t>
  </si>
  <si>
    <t>182301</t>
  </si>
  <si>
    <t>Reg Assets - Fas109 - Federal</t>
  </si>
  <si>
    <t>182352</t>
  </si>
  <si>
    <t>Regulatory Assets-Fas 109-Stat</t>
  </si>
  <si>
    <t>254301</t>
  </si>
  <si>
    <t>Reg Liability-Fas 109-Federal</t>
  </si>
  <si>
    <t>Offset Total</t>
  </si>
  <si>
    <t>Total 190 FAS 109 Offset</t>
  </si>
  <si>
    <t>Total 282 FAS 109 Offset</t>
  </si>
  <si>
    <t>Total 283 FAS 109 Offset</t>
  </si>
  <si>
    <t>Account 454000</t>
  </si>
  <si>
    <t>Account 454100</t>
  </si>
  <si>
    <t>Generation</t>
  </si>
  <si>
    <t>General Plant</t>
  </si>
  <si>
    <t>Account 454</t>
  </si>
  <si>
    <t>(1) Ties to Form 1 Pg 300.19.b</t>
  </si>
  <si>
    <t>CLECO, ETEC and LAGEN</t>
  </si>
  <si>
    <t xml:space="preserve">Supplemental Upgrade </t>
  </si>
  <si>
    <t>Revenue Requirement</t>
  </si>
  <si>
    <t>ENOI</t>
  </si>
  <si>
    <t>Plant in Service</t>
  </si>
  <si>
    <t>Accumulated Depreciation</t>
  </si>
  <si>
    <t>Net Plant</t>
  </si>
  <si>
    <t>TP</t>
  </si>
  <si>
    <t>Allocated Net Plant</t>
  </si>
  <si>
    <t>NP</t>
  </si>
  <si>
    <t>Allocated ADIT</t>
  </si>
  <si>
    <t>Rate Base</t>
  </si>
  <si>
    <t>Rate of Return</t>
  </si>
  <si>
    <t>Return</t>
  </si>
  <si>
    <t>CIT</t>
  </si>
  <si>
    <t>Income Taxes</t>
  </si>
  <si>
    <t>Depreciation Expense</t>
  </si>
  <si>
    <t>Allocated Depr Expense</t>
  </si>
  <si>
    <t>ENTERGY SERVICES, INC.</t>
  </si>
  <si>
    <t>($)</t>
  </si>
  <si>
    <t>Statutory State Corporate Income Tax Rate</t>
  </si>
  <si>
    <t>Federal</t>
  </si>
  <si>
    <t>State</t>
  </si>
  <si>
    <t>Arkansas</t>
  </si>
  <si>
    <t>Louisiana</t>
  </si>
  <si>
    <t>**</t>
  </si>
  <si>
    <t>Mississippi</t>
  </si>
  <si>
    <t>Texas</t>
  </si>
  <si>
    <t>** Federal income tax deductible for state taxable income.</t>
  </si>
  <si>
    <t>Net of Excess ADIT</t>
  </si>
  <si>
    <t>Regulatory Asset Before Gross-up</t>
  </si>
  <si>
    <t>Change in Regulatory Asset</t>
  </si>
  <si>
    <t>EGSLA</t>
  </si>
  <si>
    <t>Tax Rate</t>
  </si>
  <si>
    <t>Originating Regulatory Asset</t>
  </si>
  <si>
    <t>Excess ADIT at</t>
  </si>
  <si>
    <t>Amortization of Excess ADIT</t>
  </si>
  <si>
    <t>Regulatory Asset Without CY Equity AFUDC</t>
  </si>
  <si>
    <t>Amortization of Permanent Difference</t>
  </si>
  <si>
    <t>Ln</t>
  </si>
  <si>
    <t>(Ln1 + Ln2)</t>
  </si>
  <si>
    <t>(Ln5 + Ln8)</t>
  </si>
  <si>
    <t>(Ln11 + Ln13 + Ln 16)</t>
  </si>
  <si>
    <t>SUPPLEMENTAL TRANSMISSION PROJECTS</t>
  </si>
  <si>
    <t>PLANT BALANCES (End of Month)</t>
  </si>
  <si>
    <t>TOTAL PLANT BALANCES</t>
  </si>
  <si>
    <t>ACCUM DEPR BALANCES (End of Month)</t>
  </si>
  <si>
    <t>TOTAL ACCUM DEPR BALANCES</t>
  </si>
  <si>
    <t>(2)</t>
  </si>
  <si>
    <t>249</t>
  </si>
  <si>
    <t>Other Outside Contract Service</t>
  </si>
  <si>
    <t>CORPORATE ENVIRONMENTAL POLICY</t>
  </si>
  <si>
    <t>ENVIRONMENTAL SERVICES ADMINISTRATI</t>
  </si>
  <si>
    <t>249 Total</t>
  </si>
  <si>
    <t>386</t>
  </si>
  <si>
    <t>Other Contract Work</t>
  </si>
  <si>
    <t>386 Total</t>
  </si>
  <si>
    <t>568</t>
  </si>
  <si>
    <t>Dues-Company Memberships</t>
  </si>
  <si>
    <t>568 Total</t>
  </si>
  <si>
    <t>TX000 Total</t>
  </si>
  <si>
    <t>Sum of Monetary Amt</t>
  </si>
  <si>
    <t>GL Business Unit</t>
  </si>
  <si>
    <t>Source Resource</t>
  </si>
  <si>
    <t>Source Resource Desc</t>
  </si>
  <si>
    <t>Project Desc</t>
  </si>
  <si>
    <t>506000</t>
  </si>
  <si>
    <t>923000</t>
  </si>
  <si>
    <t>Total (1)</t>
  </si>
  <si>
    <t>EPRI Research</t>
  </si>
  <si>
    <t>(Ln3 * Ln4)</t>
  </si>
  <si>
    <t>(Ln6 * Ln7)</t>
  </si>
  <si>
    <t>(Ln9 * Ln10)</t>
  </si>
  <si>
    <t>(Ln11 * Ln12)</t>
  </si>
  <si>
    <t>(Ln14 * Ln15)</t>
  </si>
  <si>
    <t>ETEC (ETI)</t>
  </si>
  <si>
    <t>LAGEN (EGSL)</t>
  </si>
  <si>
    <t>TOTAL OpCo</t>
  </si>
  <si>
    <t>Transmission Plant in Service</t>
  </si>
  <si>
    <t>Generator Step-up Facilities</t>
  </si>
  <si>
    <t>Net</t>
  </si>
  <si>
    <t>Ratio</t>
  </si>
  <si>
    <t>Schedule 1 Charges associated with Non-Firm TSRs</t>
  </si>
  <si>
    <t>Schedule 1 Charges associated with Short Term Firm TSRs</t>
  </si>
  <si>
    <t>Shedule 1 Charges Associated with Non-Firm</t>
  </si>
  <si>
    <t>Schedule 1 Charges Associated with Short Term Firm TSRs</t>
  </si>
  <si>
    <t>Schedule 1 Revenues</t>
  </si>
  <si>
    <t>RTO/MISO Start-up Costs</t>
  </si>
  <si>
    <t>MISO</t>
  </si>
  <si>
    <t>Nonpayroll</t>
  </si>
  <si>
    <t>Payroll</t>
  </si>
  <si>
    <t>Deferred</t>
  </si>
  <si>
    <t>Costs</t>
  </si>
  <si>
    <t>Amounts</t>
  </si>
  <si>
    <t>Adjustment</t>
  </si>
  <si>
    <t>4031AM</t>
  </si>
  <si>
    <t>Grand Total</t>
  </si>
  <si>
    <t>Summary</t>
  </si>
  <si>
    <t>Payroll Taxes</t>
  </si>
  <si>
    <t>Prod O&amp;M</t>
  </si>
  <si>
    <t>Trans O&amp;M</t>
  </si>
  <si>
    <t>Customer Accounts</t>
  </si>
  <si>
    <t>Customer Services</t>
  </si>
  <si>
    <t>A&amp;G Expenses</t>
  </si>
  <si>
    <t>Service Co Depr Exp</t>
  </si>
  <si>
    <t>Payroll O&amp;M Excl A&amp;G</t>
  </si>
  <si>
    <t>Account and Desc</t>
  </si>
  <si>
    <t>Project</t>
  </si>
  <si>
    <t>Non-Payroll</t>
  </si>
  <si>
    <t>Other Expenses (A/C 419100 - 432000)</t>
  </si>
  <si>
    <t>Expenses</t>
  </si>
  <si>
    <t>4031AM - Deprec Exp billed from Serv Co Total</t>
  </si>
  <si>
    <t>408110 - Employment Taxes Total</t>
  </si>
  <si>
    <t>O&amp;M Expenses</t>
  </si>
  <si>
    <t>Production O&amp;M</t>
  </si>
  <si>
    <t>561.5 - Syst plan &amp; standards devlpmnt</t>
  </si>
  <si>
    <t>566 - Misc. Transmission Expenses Total</t>
  </si>
  <si>
    <t>568 - Maint. Supervision &amp; Engineer</t>
  </si>
  <si>
    <t>570 - Maint. Of Station Equipment</t>
  </si>
  <si>
    <t>Transmission O&amp;M</t>
  </si>
  <si>
    <t>Regional &amp; Marketing O&amp;M</t>
  </si>
  <si>
    <t>Distribution O&amp;M</t>
  </si>
  <si>
    <t>Customer Services Expenses</t>
  </si>
  <si>
    <t>Total O&amp;M Expenses Excluding A&amp;G</t>
  </si>
  <si>
    <t>Administrative &amp; General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</si>
  <si>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</si>
  <si>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</si>
  <si>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</si>
  <si>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</si>
  <si>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</si>
  <si>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</si>
  <si>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</si>
  <si>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</si>
  <si>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</si>
  <si>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Total Administrative &amp; General Expenses</t>
  </si>
  <si>
    <t>Total O&amp;M Expenses</t>
  </si>
  <si>
    <t>107000 - Constr. Work In Progress</t>
  </si>
  <si>
    <t>F5PPTRAPMO</t>
  </si>
  <si>
    <t>163000 - Stores Expenses Undistributed</t>
  </si>
  <si>
    <t>184001 - Operations  Vehicle</t>
  </si>
  <si>
    <t>F3PPTRAIMP</t>
  </si>
  <si>
    <t>Transco Implementation</t>
  </si>
  <si>
    <t>4031AM - Deprec Exp billed from Serv Co</t>
  </si>
  <si>
    <t>F3PP1TRALA</t>
  </si>
  <si>
    <t>F3PPTRAEAI</t>
  </si>
  <si>
    <t>F3PPTRAEMI</t>
  </si>
  <si>
    <t>F3PPTRAENO</t>
  </si>
  <si>
    <t>F3PPTRAETI</t>
  </si>
  <si>
    <t>F5PPTRAFIN</t>
  </si>
  <si>
    <t>F5PPTRAREG</t>
  </si>
  <si>
    <t>E1PPTIPEAI</t>
  </si>
  <si>
    <t>E1PPTIPELL</t>
  </si>
  <si>
    <t>E1PPTIPETI</t>
  </si>
  <si>
    <t>419100 - Afudc - Other Funds</t>
  </si>
  <si>
    <t>426400 - Exp-Civic,Political &amp; Rel Act</t>
  </si>
  <si>
    <t>426500 - Other Deductions</t>
  </si>
  <si>
    <t>432000 - Afudc -Borrowed Funds - Cr.</t>
  </si>
  <si>
    <t>500000 - Oper Supervision &amp; Engineerin</t>
  </si>
  <si>
    <t>506000 - Misc Steam Power Expenses</t>
  </si>
  <si>
    <t>E1PPTIPEGS</t>
  </si>
  <si>
    <t>514000 - Maintenance Of Misc Steam Plt</t>
  </si>
  <si>
    <t>517000 - Operation, Supervision &amp; Engr</t>
  </si>
  <si>
    <t>549000 - Misc Oth Pwr Generation Exps</t>
  </si>
  <si>
    <t>554000 - Maint-Misc Other Pwr Gen Plt</t>
  </si>
  <si>
    <t>560000 - Oper Super &amp; Engineering</t>
  </si>
  <si>
    <t>566000 - Misc. Transmission Expenses</t>
  </si>
  <si>
    <t>568000 - Maint. Supervision &amp; Engineer</t>
  </si>
  <si>
    <t>569000 - Maintenance Of Structures</t>
  </si>
  <si>
    <t>580000 - Operation Supervision&amp;Enginee</t>
  </si>
  <si>
    <t>592000 - Maint. Of Station Equipment</t>
  </si>
  <si>
    <t>910000 - Misc Cust Ser &amp;Information Ex</t>
  </si>
  <si>
    <t>920000 - Adm &amp; General Salaries</t>
  </si>
  <si>
    <t>921000 - Office Supplies And Expenses</t>
  </si>
  <si>
    <t>E1PPTIPEMI</t>
  </si>
  <si>
    <t>923000 - Outside Services Employed</t>
  </si>
  <si>
    <t>925000 - Injuries &amp; Damages Expense</t>
  </si>
  <si>
    <t>926000 - Employee Pension &amp; Benefits</t>
  </si>
  <si>
    <t>928000 - Regulatory Commission Expense</t>
  </si>
  <si>
    <t>930100 - General Advertising Expenses</t>
  </si>
  <si>
    <t>930200 - Miscellaneous General Expense</t>
  </si>
  <si>
    <t>930201 - Active Development Expenses</t>
  </si>
  <si>
    <t>935000 - Maintenance Of General Plant</t>
  </si>
  <si>
    <t>Total ITC Costs</t>
  </si>
  <si>
    <t>Attachment O</t>
  </si>
  <si>
    <t>Summary of ITC Costs Charged to Operating Company To Be Excluded</t>
  </si>
  <si>
    <t>500 - Oper Supervision &amp; Engineerin</t>
  </si>
  <si>
    <t>506 - Misc Steam Power Expenses</t>
  </si>
  <si>
    <t>511 - Maintenance Of Structures Total</t>
  </si>
  <si>
    <t>514 - Maintenance Of Misc Steam Plt</t>
  </si>
  <si>
    <t>517 - Operation, Supervision &amp; Engr Total</t>
  </si>
  <si>
    <t>549 - Misc Oth Pwr Generation Exps</t>
  </si>
  <si>
    <t>554 - Maint-Misc Other Pwr Gen Plt</t>
  </si>
  <si>
    <t>Total Production O&amp;M</t>
  </si>
  <si>
    <t>560 - Oper Super &amp; Engineering Total</t>
  </si>
  <si>
    <t>569 - Maintenance Of Structures Total</t>
  </si>
  <si>
    <t>Total Transmission O&amp;M</t>
  </si>
  <si>
    <t>ATTACHMENT O</t>
  </si>
  <si>
    <t>ITC TRANSACTION COSTS</t>
  </si>
  <si>
    <t>TOTAL ELECTRIC</t>
  </si>
  <si>
    <t>Ln #</t>
  </si>
  <si>
    <t>FF1 Page Number</t>
  </si>
  <si>
    <t>Entergy Texas, Inc. (ETI)</t>
  </si>
  <si>
    <t xml:space="preserve">Gross Plant In Service </t>
  </si>
  <si>
    <t>Production</t>
  </si>
  <si>
    <t>205.46.g</t>
  </si>
  <si>
    <t>Less ARO Steam</t>
  </si>
  <si>
    <t>205.15.g</t>
  </si>
  <si>
    <t>Less ARO Nuclear</t>
  </si>
  <si>
    <t>205.24.g</t>
  </si>
  <si>
    <t>Less ARO Hydraulic</t>
  </si>
  <si>
    <t>205.34.g</t>
  </si>
  <si>
    <t>Less ARO Other</t>
  </si>
  <si>
    <t>205.44.g</t>
  </si>
  <si>
    <t>Production Plt Excl ARO</t>
  </si>
  <si>
    <t>207.58.g</t>
  </si>
  <si>
    <t>Less ARO</t>
  </si>
  <si>
    <t>207.57.g</t>
  </si>
  <si>
    <t>Transmission Plt Excl ARO</t>
  </si>
  <si>
    <t>207.75.g</t>
  </si>
  <si>
    <t>207.74.g</t>
  </si>
  <si>
    <t>Distribution Plt Excl ARO</t>
  </si>
  <si>
    <t>Intangible</t>
  </si>
  <si>
    <t xml:space="preserve">205.5.g </t>
  </si>
  <si>
    <t>207.99.g</t>
  </si>
  <si>
    <t>Less ARO General</t>
  </si>
  <si>
    <t>207.98.g</t>
  </si>
  <si>
    <t>Total General &amp; Intangible</t>
  </si>
  <si>
    <t>Common</t>
  </si>
  <si>
    <t>356.1</t>
  </si>
  <si>
    <t>Total Gross Plant in Service</t>
  </si>
  <si>
    <t>219.20.c</t>
  </si>
  <si>
    <t>Footnotes to 219.20.c</t>
  </si>
  <si>
    <t>219.21.c</t>
  </si>
  <si>
    <t>Footnotes to 219.21.c</t>
  </si>
  <si>
    <t>Hydraulic Production- Conventional</t>
  </si>
  <si>
    <t>219.22.c</t>
  </si>
  <si>
    <t>Less ARO Hydraulic Production- Conventional</t>
  </si>
  <si>
    <t>Footnotes to 219.22.c</t>
  </si>
  <si>
    <t>Hydraulic Production- Pumped Storage</t>
  </si>
  <si>
    <t>219.23.c</t>
  </si>
  <si>
    <t>Less ARO Hydraulic Production- Pumped Storage</t>
  </si>
  <si>
    <t>Footnotes to 219.23.c</t>
  </si>
  <si>
    <t>Other Production</t>
  </si>
  <si>
    <t>219.24.c</t>
  </si>
  <si>
    <t>Less ARO Other Production</t>
  </si>
  <si>
    <t>Footnotes to 219.24.c</t>
  </si>
  <si>
    <t>Production Accum Dep Excl ARO</t>
  </si>
  <si>
    <t>219.25.c</t>
  </si>
  <si>
    <t>Footnotes to 219.25.c</t>
  </si>
  <si>
    <t>Transmission Accum Dep Excl ARO</t>
  </si>
  <si>
    <t>219.26.c</t>
  </si>
  <si>
    <t>Footnotes to 219.26.c</t>
  </si>
  <si>
    <t>Distribution Accum Dep Excl ARO</t>
  </si>
  <si>
    <t xml:space="preserve">219.28.c </t>
  </si>
  <si>
    <t>Footnotes to 219.28.c</t>
  </si>
  <si>
    <t>200.21.c</t>
  </si>
  <si>
    <t>Total Accum Dep</t>
  </si>
  <si>
    <t xml:space="preserve">ADIT </t>
  </si>
  <si>
    <t>Acct 281 (Negative)</t>
  </si>
  <si>
    <t>273.8.k</t>
  </si>
  <si>
    <t>Acct 282 (Negative)</t>
  </si>
  <si>
    <t>275.2.k</t>
  </si>
  <si>
    <t>Acct 282 FAS 106 &amp; 109</t>
  </si>
  <si>
    <t>WP 2</t>
  </si>
  <si>
    <t>Total Acct 282</t>
  </si>
  <si>
    <t>Acct 283 (Negative)</t>
  </si>
  <si>
    <t>277.9.k</t>
  </si>
  <si>
    <t>Acct 283 FAS 106 &amp; 109</t>
  </si>
  <si>
    <t>Total Acct 283</t>
  </si>
  <si>
    <t>Acct 190</t>
  </si>
  <si>
    <t>234.8.c</t>
  </si>
  <si>
    <t>Acct 190 FAS 106 &amp; 109</t>
  </si>
  <si>
    <t>Total Acct 190</t>
  </si>
  <si>
    <t xml:space="preserve">Land Held Future Use </t>
  </si>
  <si>
    <t>WP 3</t>
  </si>
  <si>
    <t>Materials &amp; Supplies</t>
  </si>
  <si>
    <t>Materials &amp; Supplies- Transmission Plant</t>
  </si>
  <si>
    <t xml:space="preserve">227.8.c </t>
  </si>
  <si>
    <t>Stores Expense Undistributed (Acct 163)</t>
  </si>
  <si>
    <t>227.16.c</t>
  </si>
  <si>
    <t>Total Account 154</t>
  </si>
  <si>
    <t>227.12.c</t>
  </si>
  <si>
    <t>Account 163 Prorated Amount for Trans Only</t>
  </si>
  <si>
    <t>(Ln57/Ln59)*Ln58</t>
  </si>
  <si>
    <t>Materials &amp; Supplies (Trans Only)</t>
  </si>
  <si>
    <t>Ln57 + Ln60</t>
  </si>
  <si>
    <t xml:space="preserve">Prepayments (Acct 165) </t>
  </si>
  <si>
    <t>111.57.c</t>
  </si>
  <si>
    <t>O&amp;M</t>
  </si>
  <si>
    <t>321.112.b</t>
  </si>
  <si>
    <t>Deferred MISO Costs</t>
  </si>
  <si>
    <t>WP 15</t>
  </si>
  <si>
    <t>Deferred ITC Costs</t>
  </si>
  <si>
    <t>WP 16</t>
  </si>
  <si>
    <t>Less Facility Credits</t>
  </si>
  <si>
    <t>WP 9</t>
  </si>
  <si>
    <t>Account 561.4</t>
  </si>
  <si>
    <t xml:space="preserve">321.88.b </t>
  </si>
  <si>
    <t>Account 561.8</t>
  </si>
  <si>
    <t>321.92.b</t>
  </si>
  <si>
    <t>Total Accounts 561.4 &amp; 561.8</t>
  </si>
  <si>
    <t>Acct 565</t>
  </si>
  <si>
    <t>321.96.b</t>
  </si>
  <si>
    <t>A&amp;G</t>
  </si>
  <si>
    <t>323.197.b</t>
  </si>
  <si>
    <t>Total A&amp;G</t>
  </si>
  <si>
    <t>FERC Annual Fees</t>
  </si>
  <si>
    <t>350.3.b</t>
  </si>
  <si>
    <t>EPRI Dues</t>
  </si>
  <si>
    <t>WP 4</t>
  </si>
  <si>
    <t>Total EPRI</t>
  </si>
  <si>
    <t>Regulatory Commission Exp.</t>
  </si>
  <si>
    <t>351.46.h</t>
  </si>
  <si>
    <t>Total Regulatory Commision Exp.</t>
  </si>
  <si>
    <t>Non-Safety (Account 930.1)</t>
  </si>
  <si>
    <t>323.191.b</t>
  </si>
  <si>
    <t>Total Non-Safety (Account 930.1)</t>
  </si>
  <si>
    <t>Total EPRI, Reg Comm Exp &amp; Non-Safety</t>
  </si>
  <si>
    <t>Trans Related Reg Comm Exp</t>
  </si>
  <si>
    <t>MISO Transition Cost</t>
  </si>
  <si>
    <t>Total Trans Related Reg Comm Exp</t>
  </si>
  <si>
    <t>Transmission Lease Payments</t>
  </si>
  <si>
    <t>Depreciation &amp; Amortization</t>
  </si>
  <si>
    <t>336.7.b</t>
  </si>
  <si>
    <t xml:space="preserve">336.10.f </t>
  </si>
  <si>
    <t>Total General</t>
  </si>
  <si>
    <t>336.1.f</t>
  </si>
  <si>
    <t>336.11.b</t>
  </si>
  <si>
    <t>Taxes Other Than Income</t>
  </si>
  <si>
    <t xml:space="preserve">  LABOR RELATED</t>
  </si>
  <si>
    <t>Employment Taxes</t>
  </si>
  <si>
    <t>WP 12</t>
  </si>
  <si>
    <t>Payroll (Fed. And State)</t>
  </si>
  <si>
    <t>263.5.i</t>
  </si>
  <si>
    <t>Total Payroll</t>
  </si>
  <si>
    <t>Highway and vehicle</t>
  </si>
  <si>
    <t>263.i</t>
  </si>
  <si>
    <t xml:space="preserve">  PLANT RELATED</t>
  </si>
  <si>
    <t>Property</t>
  </si>
  <si>
    <t>LA Property Tax</t>
  </si>
  <si>
    <t>TX Property Tax</t>
  </si>
  <si>
    <t>Total Property</t>
  </si>
  <si>
    <t>Gross Receipts</t>
  </si>
  <si>
    <t>Gross Receipts- Texas</t>
  </si>
  <si>
    <t>263.13.i</t>
  </si>
  <si>
    <t>State &amp; Local Use Taxes</t>
  </si>
  <si>
    <t>263.19.i</t>
  </si>
  <si>
    <t>Total Gross Receipts</t>
  </si>
  <si>
    <t>Other</t>
  </si>
  <si>
    <t>Excise Tax- State</t>
  </si>
  <si>
    <t>Excise Tax- Federal</t>
  </si>
  <si>
    <t>Franchise Tax State</t>
  </si>
  <si>
    <t>City Occupation Tax</t>
  </si>
  <si>
    <t>GSG&amp;T</t>
  </si>
  <si>
    <t>Federal Excise Tax</t>
  </si>
  <si>
    <t>263.4.i</t>
  </si>
  <si>
    <t>263.10.i</t>
  </si>
  <si>
    <t>263.14.i</t>
  </si>
  <si>
    <t>Regulatory commission</t>
  </si>
  <si>
    <t>263.15.i</t>
  </si>
  <si>
    <t>Franchise Local - TX prepaid</t>
  </si>
  <si>
    <t>Franchise Local - TX</t>
  </si>
  <si>
    <t>263.17.i</t>
  </si>
  <si>
    <t>Street Rental</t>
  </si>
  <si>
    <t>263.18.i</t>
  </si>
  <si>
    <t>Non Income Taxes</t>
  </si>
  <si>
    <t>263.20.i</t>
  </si>
  <si>
    <t>Total Other</t>
  </si>
  <si>
    <t>Payments in lieu of taxes</t>
  </si>
  <si>
    <t>Federal Income</t>
  </si>
  <si>
    <t>263.2.i</t>
  </si>
  <si>
    <t>State Income</t>
  </si>
  <si>
    <t>263.3.i</t>
  </si>
  <si>
    <t>Investment Tax Credit Amortization (enter negative)</t>
  </si>
  <si>
    <t>266.8.f</t>
  </si>
  <si>
    <t>Excess Deferred Income Taxes (enter negative)</t>
  </si>
  <si>
    <t>WP 5</t>
  </si>
  <si>
    <t>Tax Effect of Permanent Differences</t>
  </si>
  <si>
    <t>Attachment GG Adjustment</t>
  </si>
  <si>
    <t>Attachment MM Adjustment</t>
  </si>
  <si>
    <t>Rev Requ for Supp Upgrade trans facilities</t>
  </si>
  <si>
    <t>WP 13</t>
  </si>
  <si>
    <t>TRANS PLT INCLUDED IN ISO RATES</t>
  </si>
  <si>
    <t>Less Trans Excluded from ISO rates</t>
  </si>
  <si>
    <t>Step-Up Transformers</t>
  </si>
  <si>
    <t>Plant In Service</t>
  </si>
  <si>
    <t>WP 6</t>
  </si>
  <si>
    <t>Transmission Expenses</t>
  </si>
  <si>
    <t>Account 561.1</t>
  </si>
  <si>
    <t>321.85.b</t>
  </si>
  <si>
    <t>Account 561.2</t>
  </si>
  <si>
    <t>321.86.b</t>
  </si>
  <si>
    <t>Account 561.3</t>
  </si>
  <si>
    <t>321.87.b</t>
  </si>
  <si>
    <t>Account 561.BA</t>
  </si>
  <si>
    <t>Total Trans Expenses Included in OATT Ancillary Services</t>
  </si>
  <si>
    <t>Labor Expense</t>
  </si>
  <si>
    <t>354.20.b</t>
  </si>
  <si>
    <t>ESI</t>
  </si>
  <si>
    <t>Footnotes 354.96.d</t>
  </si>
  <si>
    <t>EOI</t>
  </si>
  <si>
    <t>Total Production</t>
  </si>
  <si>
    <t>354.21.b</t>
  </si>
  <si>
    <t>Total Transmission</t>
  </si>
  <si>
    <t>354.23.b</t>
  </si>
  <si>
    <t>Total Distribution</t>
  </si>
  <si>
    <t>354.24.b</t>
  </si>
  <si>
    <t>Customer Accounts ESI</t>
  </si>
  <si>
    <t>Customer Service And Informational</t>
  </si>
  <si>
    <t>354.25.b</t>
  </si>
  <si>
    <t>Customer Service ESI</t>
  </si>
  <si>
    <t>Sales</t>
  </si>
  <si>
    <t>354.26.b</t>
  </si>
  <si>
    <t>Sales ESI</t>
  </si>
  <si>
    <t>COMMON PLANT ALLOCATOR  (CE)</t>
  </si>
  <si>
    <t xml:space="preserve"> Electric</t>
  </si>
  <si>
    <t>200.3.c</t>
  </si>
  <si>
    <t xml:space="preserve"> Gas</t>
  </si>
  <si>
    <t>201.3.d</t>
  </si>
  <si>
    <t xml:space="preserve"> Water</t>
  </si>
  <si>
    <t>201.3.e</t>
  </si>
  <si>
    <t>Cost of Capital</t>
  </si>
  <si>
    <t>Long Term Interest Exp</t>
  </si>
  <si>
    <t>Account 427</t>
  </si>
  <si>
    <t xml:space="preserve">117.62.c </t>
  </si>
  <si>
    <t>Account 428</t>
  </si>
  <si>
    <t>117.63.c</t>
  </si>
  <si>
    <t>Account 428.1</t>
  </si>
  <si>
    <t>117.64.c</t>
  </si>
  <si>
    <t>(Less) Account 429</t>
  </si>
  <si>
    <t>117.65.c</t>
  </si>
  <si>
    <t>(Less) Account 429.1</t>
  </si>
  <si>
    <t>117.66.c</t>
  </si>
  <si>
    <t>Account 430</t>
  </si>
  <si>
    <t>117.67.c</t>
  </si>
  <si>
    <t>Total Long Term Interest Exp</t>
  </si>
  <si>
    <t>Preferred Dividends (positive number)</t>
  </si>
  <si>
    <t>118.29.c</t>
  </si>
  <si>
    <t>Proprietary Capital</t>
  </si>
  <si>
    <t>112.16.c</t>
  </si>
  <si>
    <t>Preferred Stock</t>
  </si>
  <si>
    <t>112.3.c</t>
  </si>
  <si>
    <t>Account 216.1 (enter negative)</t>
  </si>
  <si>
    <t>112.12.c</t>
  </si>
  <si>
    <t>Account 221</t>
  </si>
  <si>
    <t>112.18.c</t>
  </si>
  <si>
    <t>(Less) Account 222</t>
  </si>
  <si>
    <t>112.19.c</t>
  </si>
  <si>
    <t>Account 223</t>
  </si>
  <si>
    <t>112.20.c</t>
  </si>
  <si>
    <t>Account 224</t>
  </si>
  <si>
    <t>112.21.c</t>
  </si>
  <si>
    <t>Total Long Term Debt</t>
  </si>
  <si>
    <t>Account 447 (Sales for Resale)</t>
  </si>
  <si>
    <t>Bundled Non-RQ Sales for Resale</t>
  </si>
  <si>
    <t>ZERO</t>
  </si>
  <si>
    <t>Bundled Sales for Resale</t>
  </si>
  <si>
    <t>Revenues</t>
  </si>
  <si>
    <t>Transmission Related</t>
  </si>
  <si>
    <t>WP 7</t>
  </si>
  <si>
    <t>WP 8</t>
  </si>
  <si>
    <t>Total Charges for all transm transactions included in Divisor on Page 1</t>
  </si>
  <si>
    <t>Transmission charges associated with Schedules 26 and 37  (Note X)</t>
  </si>
  <si>
    <t>Transmission charges associated with Schedule 26-A  (Note Z)</t>
  </si>
  <si>
    <t>Revenues from Grandfathered Interzonal Transactions</t>
  </si>
  <si>
    <t>Revenues from service provided by the ISO at a discount</t>
  </si>
  <si>
    <t>Network Customer 1</t>
  </si>
  <si>
    <t>Network Customer 2</t>
  </si>
  <si>
    <t>Divisor</t>
  </si>
  <si>
    <t>Average of billing determinants</t>
  </si>
  <si>
    <t>Footnotes 400.1.a &amp; WP 10</t>
  </si>
  <si>
    <t>Plus 12 CP of firm bundled sales</t>
  </si>
  <si>
    <t>Plus 12 CP of Network Load</t>
  </si>
  <si>
    <t>Less 12 CP of firm P-T-P (enter negative)</t>
  </si>
  <si>
    <t>Plus Contract Demand of firm P-T-P</t>
  </si>
  <si>
    <t>Less Contract Demand from Grandfathered (enter negative)</t>
  </si>
  <si>
    <t>Less Contract Demand from ISO at a discount (enter negative)</t>
  </si>
  <si>
    <t>Tax Rates</t>
  </si>
  <si>
    <t>WP 11</t>
  </si>
  <si>
    <t>% of federal income tax deductible by state</t>
  </si>
  <si>
    <t>Schedule 1 Recoverable Expenses</t>
  </si>
  <si>
    <t>Revenue Associated with Non-Firm Sales</t>
  </si>
  <si>
    <t>WP 14</t>
  </si>
  <si>
    <t>Revenue Associated with Short Term Sales</t>
  </si>
  <si>
    <t>263.21.i</t>
  </si>
  <si>
    <t>263.22.i</t>
  </si>
  <si>
    <t>263.30.i</t>
  </si>
  <si>
    <t>2013 DATA</t>
  </si>
  <si>
    <t>Twelve Months Ended December 31, 2013</t>
  </si>
  <si>
    <t>2013</t>
  </si>
  <si>
    <t>C6PPWMR001</t>
  </si>
  <si>
    <t>C6PPLRT002</t>
  </si>
  <si>
    <t>253107 - Oth Def - EAI CWIP</t>
  </si>
  <si>
    <t>4265AD - AFDC Dr Cntra APSC Ord 09-84-U</t>
  </si>
  <si>
    <t>4265AE - AFDC Eqty Cntr APSC Or 09-84-U</t>
  </si>
  <si>
    <t>E1PPTIPENO</t>
  </si>
  <si>
    <t>524000 - Misc. Nuclear Power Expenses</t>
  </si>
  <si>
    <t>573000 - Maint Misc Transmission Plant</t>
  </si>
  <si>
    <t>588000 - Misc Distribution Expense</t>
  </si>
  <si>
    <t>593000 - Maintenance Of Overhead Lines</t>
  </si>
  <si>
    <t>903002 - Collection Expense</t>
  </si>
  <si>
    <t>931000 - Rents</t>
  </si>
  <si>
    <t>FOR THE YEAR ENDED DECEMBER 31, 2013</t>
  </si>
  <si>
    <t>Other Costs (A/C 1010 - 253107)</t>
  </si>
  <si>
    <t>524 - Misc. Nuclear Power Expenses</t>
  </si>
  <si>
    <t>930.2 - Misc. General Expense</t>
  </si>
  <si>
    <t>931 - Rents</t>
  </si>
  <si>
    <t>Details of ITC Costs Charged to Operating Companies</t>
  </si>
  <si>
    <t>2013 Equity AFUDC Originating Difference</t>
  </si>
  <si>
    <t>Critical Infrastructure Protection</t>
  </si>
  <si>
    <t>WATER PROGRAMS - FOSSIL</t>
  </si>
  <si>
    <t>Net RTO/MISO related Start-Up costs recorded in 2013.</t>
  </si>
  <si>
    <t>905000</t>
  </si>
  <si>
    <t>925000</t>
  </si>
  <si>
    <t>903002</t>
  </si>
  <si>
    <t>507000</t>
  </si>
  <si>
    <t>456107 - Network Transmission Revenue</t>
  </si>
  <si>
    <t>456136 - MISO Sch 7 Firm PTP - ST</t>
  </si>
  <si>
    <t>456137 - MISO Sch 7 Firm PTP - LT</t>
  </si>
  <si>
    <t>456138 - MISO Sch 8 Non-firm</t>
  </si>
  <si>
    <t>456139 - MISO Sch 9 Network</t>
  </si>
  <si>
    <t>456141 - MISO Sch 41 Stm Securitization</t>
  </si>
  <si>
    <t>456142 - MISO Sch 42 Int/AFUDC Amort</t>
  </si>
  <si>
    <t>For the 12 months ended 12/31/13</t>
  </si>
  <si>
    <t>456119 - Suppl Reserve Ptp Tran Rev</t>
  </si>
  <si>
    <t>2013 DEPRECIATION EXPENSES</t>
  </si>
  <si>
    <t>2013 Total</t>
  </si>
  <si>
    <t>TOTAL 2013 DEPR. EXPENSES</t>
  </si>
  <si>
    <t>TOTAL Facility Credits by Opco for 2013</t>
  </si>
  <si>
    <t>CLECO (NLAKE)</t>
  </si>
  <si>
    <t xml:space="preserve"> </t>
  </si>
  <si>
    <t>(3)</t>
  </si>
  <si>
    <t>BB</t>
  </si>
  <si>
    <t>For Year 2013</t>
  </si>
  <si>
    <t>143983</t>
  </si>
  <si>
    <t>143985</t>
  </si>
  <si>
    <t>143987</t>
  </si>
  <si>
    <t>143995</t>
  </si>
  <si>
    <t>408110</t>
  </si>
  <si>
    <t>500000</t>
  </si>
  <si>
    <t>510000</t>
  </si>
  <si>
    <t>556000</t>
  </si>
  <si>
    <t>557000</t>
  </si>
  <si>
    <t>560000</t>
  </si>
  <si>
    <t>561200</t>
  </si>
  <si>
    <t>561300</t>
  </si>
  <si>
    <t>561500</t>
  </si>
  <si>
    <t>566000</t>
  </si>
  <si>
    <t>569100</t>
  </si>
  <si>
    <t>909000</t>
  </si>
  <si>
    <t>920000</t>
  </si>
  <si>
    <t>921000</t>
  </si>
  <si>
    <t>926000</t>
  </si>
  <si>
    <t>928000</t>
  </si>
  <si>
    <t>930100</t>
  </si>
  <si>
    <t>930200</t>
  </si>
  <si>
    <t>931000</t>
  </si>
  <si>
    <t>Oth Accts Receivable</t>
  </si>
  <si>
    <t>WP 17</t>
  </si>
  <si>
    <t>F3PPSPE084</t>
  </si>
  <si>
    <t>F3PPSPE085</t>
  </si>
  <si>
    <t>263.12.i</t>
  </si>
  <si>
    <t>Attachment O Denominator</t>
  </si>
  <si>
    <t>EWOM- NITS- ETI- REMAINING POD</t>
  </si>
  <si>
    <t>SUM ETI LOAD</t>
  </si>
  <si>
    <t>TOTAL/12</t>
  </si>
  <si>
    <t>Ad Valorem Tax</t>
  </si>
  <si>
    <t>Franchise Tax - State</t>
  </si>
  <si>
    <t>State Excise Tax</t>
  </si>
  <si>
    <t>Excess Deferred Income Tax &amp; Tax Effect of Permanent Differences</t>
  </si>
  <si>
    <t>For the Test Year Ended December 31, 2013</t>
  </si>
  <si>
    <t>Test Year Ended December 31, 2013</t>
  </si>
  <si>
    <t>Data Source</t>
  </si>
  <si>
    <t>AJ</t>
  </si>
  <si>
    <t>AZ</t>
  </si>
  <si>
    <t>BA</t>
  </si>
  <si>
    <t>BC</t>
  </si>
  <si>
    <t>BM</t>
  </si>
  <si>
    <t>Federal Unemployment Tax</t>
  </si>
  <si>
    <t>263.6.i</t>
  </si>
  <si>
    <t>State Unemployment Tax</t>
  </si>
  <si>
    <t>263.11.i</t>
  </si>
  <si>
    <t>263.16.i</t>
  </si>
  <si>
    <t>Corporate Franchise Tax</t>
  </si>
  <si>
    <t>(1) Ties to FERC Form 1 353.6.f</t>
  </si>
  <si>
    <t>At December 31, 2013</t>
  </si>
  <si>
    <t xml:space="preserve">Transmission charges for all transmission transactions </t>
  </si>
  <si>
    <t>Monthly Average</t>
  </si>
  <si>
    <t>Annualized Amount</t>
  </si>
  <si>
    <t>456136</t>
  </si>
  <si>
    <t>MISO Sch 7 Firm PTP - ST</t>
  </si>
  <si>
    <t>456137</t>
  </si>
  <si>
    <t>MISO Sch 7 Firm PTP - LT</t>
  </si>
  <si>
    <t>456138</t>
  </si>
  <si>
    <t>MISO Sch 8 Non-firm</t>
  </si>
  <si>
    <t>351.28.h</t>
  </si>
  <si>
    <t>351.38.h</t>
  </si>
  <si>
    <t>TOTAL LOAD FOR ETI DIVISOR</t>
  </si>
  <si>
    <t>FOR THE TEST YEAR ENDED DECEMBER 31, 2013</t>
  </si>
  <si>
    <t>ADIT BALANCES (End of Month)</t>
  </si>
  <si>
    <t>Total ADIT Balances</t>
  </si>
  <si>
    <t>Account 456 - Other Electric Revenue</t>
  </si>
  <si>
    <t xml:space="preserve">TOTAL </t>
  </si>
  <si>
    <t>Schedule 24 Recoverable Costs (A/C 561.2BA)</t>
  </si>
  <si>
    <t>Transmission charges for all transmission transactions (1)</t>
  </si>
  <si>
    <t xml:space="preserve">(1) Upon the transition into MISO, a number of transmission customers have cancelled existing contracts or converted an existing contract to another type of service.  The amount of revenue credits is based on the annualization of MISO Schedule 7 and 8 revenues received during the first quarter of 2014. </t>
  </si>
  <si>
    <t>Line 13 * Line 17</t>
  </si>
  <si>
    <t>Post MISO Integration</t>
  </si>
  <si>
    <t>Line 18 + Line 19</t>
  </si>
  <si>
    <t>Line 21 + Line 22</t>
  </si>
  <si>
    <t>Notes:</t>
  </si>
  <si>
    <t xml:space="preserve">January 2014 ISB Resp. Ratio </t>
  </si>
  <si>
    <t>353.5.f</t>
  </si>
  <si>
    <t>Account 456.1</t>
  </si>
  <si>
    <t>(2) Workpaper 8a</t>
  </si>
  <si>
    <t>(3) Form 1 Pg 300.22.b</t>
  </si>
  <si>
    <t>Reference</t>
  </si>
  <si>
    <t>WP 13a</t>
  </si>
  <si>
    <t>PTP Load Ratio Share Calculation</t>
  </si>
  <si>
    <t>TOTAL SYSTEM PTP (1)</t>
  </si>
  <si>
    <t>TOTAL SYSTEM PTP- EAI</t>
  </si>
  <si>
    <t>TOTAL SYSTEM PTP- EGSL</t>
  </si>
  <si>
    <t>TOTAL SYSTEM PTP- ELL</t>
  </si>
  <si>
    <t>TOTAL SYSTEM PTP- EMI</t>
  </si>
  <si>
    <t>TOTAL SYSTEM PTP- ENO</t>
  </si>
  <si>
    <t>TOTAL SYSTEM PTP- ETI</t>
  </si>
  <si>
    <t>BE = N+SUM(P:AE)</t>
  </si>
  <si>
    <t>BF</t>
  </si>
  <si>
    <t>BG</t>
  </si>
  <si>
    <t>BH</t>
  </si>
  <si>
    <t>BI</t>
  </si>
  <si>
    <t>BJ</t>
  </si>
  <si>
    <t>BK</t>
  </si>
  <si>
    <t>Ref</t>
  </si>
  <si>
    <t>Gross Transmission Plant in Service</t>
  </si>
  <si>
    <t>PTP Ratio Share</t>
  </si>
  <si>
    <t>Known service changes or load that sinks outside of MISO after the Dec. 19, 2013 integration into MISO.  Also see WP 10.</t>
  </si>
  <si>
    <t>Known service changes or load that sinks outside of MISO after the Dec. 19, 2013 integration into MISO.  Also see WP 10a.</t>
  </si>
  <si>
    <t>Form 1 Pg 400 footnote.</t>
  </si>
  <si>
    <t>TOTAL SYSTEM PTP- ETI (NO LONGER ENTERGY LOAD) (1)</t>
  </si>
  <si>
    <t>TOTAL LOAD FOR ETI (2)</t>
  </si>
  <si>
    <t>Index to Attachment O Workpapers</t>
  </si>
  <si>
    <r>
      <t>-</t>
    </r>
    <r>
      <rPr>
        <sz val="7"/>
        <color theme="1"/>
        <rFont val="Times New Roman"/>
        <family val="1"/>
      </rPr>
      <t xml:space="preserve">        </t>
    </r>
    <r>
      <rPr>
        <sz val="11"/>
        <color theme="1"/>
        <rFont val="Calibri"/>
        <family val="2"/>
        <scheme val="minor"/>
      </rPr>
      <t>WP 1: Summary of Data used in Attachment O Rate Formula Template</t>
    </r>
  </si>
  <si>
    <r>
      <t>-</t>
    </r>
    <r>
      <rPr>
        <sz val="7"/>
        <color theme="1"/>
        <rFont val="Times New Roman"/>
        <family val="1"/>
      </rPr>
      <t xml:space="preserve">        </t>
    </r>
    <r>
      <rPr>
        <sz val="11"/>
        <color theme="1"/>
        <rFont val="Calibri"/>
        <family val="2"/>
        <scheme val="minor"/>
      </rPr>
      <t>WP 2: ADIT FAS 109 Offset</t>
    </r>
  </si>
  <si>
    <r>
      <t>-</t>
    </r>
    <r>
      <rPr>
        <sz val="7"/>
        <color theme="1"/>
        <rFont val="Times New Roman"/>
        <family val="1"/>
      </rPr>
      <t xml:space="preserve">        </t>
    </r>
    <r>
      <rPr>
        <sz val="11"/>
        <color theme="1"/>
        <rFont val="Calibri"/>
        <family val="2"/>
        <scheme val="minor"/>
      </rPr>
      <t>WP 3: Land Held for Future Use</t>
    </r>
  </si>
  <si>
    <r>
      <t>-</t>
    </r>
    <r>
      <rPr>
        <sz val="7"/>
        <color theme="1"/>
        <rFont val="Times New Roman"/>
        <family val="1"/>
      </rPr>
      <t xml:space="preserve">        </t>
    </r>
    <r>
      <rPr>
        <sz val="11"/>
        <color theme="1"/>
        <rFont val="Calibri"/>
        <family val="2"/>
        <scheme val="minor"/>
      </rPr>
      <t>WP 4: EPRI Research Detail</t>
    </r>
  </si>
  <si>
    <r>
      <t>-</t>
    </r>
    <r>
      <rPr>
        <sz val="7"/>
        <color theme="1"/>
        <rFont val="Times New Roman"/>
        <family val="1"/>
      </rPr>
      <t xml:space="preserve">        </t>
    </r>
    <r>
      <rPr>
        <sz val="11"/>
        <color theme="1"/>
        <rFont val="Calibri"/>
        <family val="2"/>
        <scheme val="minor"/>
      </rPr>
      <t>WP 5: Excess Deferred Income Tax &amp; Tax Effect of Permanent Differences</t>
    </r>
  </si>
  <si>
    <r>
      <t>-</t>
    </r>
    <r>
      <rPr>
        <sz val="7"/>
        <color theme="1"/>
        <rFont val="Times New Roman"/>
        <family val="1"/>
      </rPr>
      <t xml:space="preserve">        </t>
    </r>
    <r>
      <rPr>
        <sz val="11"/>
        <color theme="1"/>
        <rFont val="Calibri"/>
        <family val="2"/>
        <scheme val="minor"/>
      </rPr>
      <t>WP 6: Transmission Plant in Service</t>
    </r>
  </si>
  <si>
    <r>
      <t>-</t>
    </r>
    <r>
      <rPr>
        <sz val="7"/>
        <color theme="1"/>
        <rFont val="Times New Roman"/>
        <family val="1"/>
      </rPr>
      <t xml:space="preserve">        </t>
    </r>
    <r>
      <rPr>
        <sz val="11"/>
        <color theme="1"/>
        <rFont val="Calibri"/>
        <family val="2"/>
        <scheme val="minor"/>
      </rPr>
      <t>WP 7: Account 454 Rent from Electric Property Functionalization</t>
    </r>
  </si>
  <si>
    <r>
      <t>-</t>
    </r>
    <r>
      <rPr>
        <sz val="7"/>
        <color theme="1"/>
        <rFont val="Times New Roman"/>
        <family val="1"/>
      </rPr>
      <t xml:space="preserve">        </t>
    </r>
    <r>
      <rPr>
        <sz val="11"/>
        <color theme="1"/>
        <rFont val="Calibri"/>
        <family val="2"/>
        <scheme val="minor"/>
      </rPr>
      <t>WP 8: Account 456 – Other Electric Revenues</t>
    </r>
  </si>
  <si>
    <r>
      <t>-</t>
    </r>
    <r>
      <rPr>
        <sz val="7"/>
        <color theme="1"/>
        <rFont val="Times New Roman"/>
        <family val="1"/>
      </rPr>
      <t xml:space="preserve">        </t>
    </r>
    <r>
      <rPr>
        <sz val="11"/>
        <color theme="1"/>
        <rFont val="Calibri"/>
        <family val="2"/>
        <scheme val="minor"/>
      </rPr>
      <t>WP 9: Transmission Facility Credits</t>
    </r>
  </si>
  <si>
    <t>-      WP 10: Attachment O Denominator</t>
  </si>
  <si>
    <t>-      WP 11: Income Tax Rates</t>
  </si>
  <si>
    <r>
      <t>-</t>
    </r>
    <r>
      <rPr>
        <sz val="7"/>
        <color theme="1"/>
        <rFont val="Times New Roman"/>
        <family val="1"/>
      </rPr>
      <t xml:space="preserve">        </t>
    </r>
    <r>
      <rPr>
        <sz val="11"/>
        <color theme="1"/>
        <rFont val="Calibri"/>
        <family val="2"/>
        <scheme val="minor"/>
      </rPr>
      <t>WP 12: Taxes Other Than Income Tax Charged By Affiliates</t>
    </r>
  </si>
  <si>
    <r>
      <t>-</t>
    </r>
    <r>
      <rPr>
        <sz val="7"/>
        <color theme="1"/>
        <rFont val="Times New Roman"/>
        <family val="1"/>
      </rPr>
      <t xml:space="preserve">        </t>
    </r>
    <r>
      <rPr>
        <sz val="11"/>
        <color theme="1"/>
        <rFont val="Calibri"/>
        <family val="2"/>
        <scheme val="minor"/>
      </rPr>
      <t>WP 13: Supplemental Transmission Upgrade Revenue Requirement</t>
    </r>
  </si>
  <si>
    <r>
      <t>-</t>
    </r>
    <r>
      <rPr>
        <sz val="7"/>
        <color theme="1"/>
        <rFont val="Times New Roman"/>
        <family val="1"/>
      </rPr>
      <t xml:space="preserve">        </t>
    </r>
    <r>
      <rPr>
        <sz val="11"/>
        <color theme="1"/>
        <rFont val="Calibri"/>
        <family val="2"/>
        <scheme val="minor"/>
      </rPr>
      <t>WP 14: Schedule 1 Revenues</t>
    </r>
  </si>
  <si>
    <r>
      <t>-</t>
    </r>
    <r>
      <rPr>
        <sz val="7"/>
        <color theme="1"/>
        <rFont val="Times New Roman"/>
        <family val="1"/>
      </rPr>
      <t xml:space="preserve">        </t>
    </r>
    <r>
      <rPr>
        <sz val="11"/>
        <color theme="1"/>
        <rFont val="Calibri"/>
        <family val="2"/>
        <scheme val="minor"/>
      </rPr>
      <t>WP 15: MISO Start-Up Costs</t>
    </r>
  </si>
  <si>
    <r>
      <t>-</t>
    </r>
    <r>
      <rPr>
        <sz val="7"/>
        <color theme="1"/>
        <rFont val="Times New Roman"/>
        <family val="1"/>
      </rPr>
      <t xml:space="preserve">        </t>
    </r>
    <r>
      <rPr>
        <sz val="11"/>
        <color theme="1"/>
        <rFont val="Calibri"/>
        <family val="2"/>
        <scheme val="minor"/>
      </rPr>
      <t>WP 16: ITC Transaction Costs</t>
    </r>
  </si>
  <si>
    <r>
      <t>-</t>
    </r>
    <r>
      <rPr>
        <sz val="7"/>
        <color theme="1"/>
        <rFont val="Times New Roman"/>
        <family val="1"/>
      </rPr>
      <t xml:space="preserve">        </t>
    </r>
    <r>
      <rPr>
        <sz val="11"/>
        <color theme="1"/>
        <rFont val="Calibri"/>
        <family val="2"/>
        <scheme val="minor"/>
      </rPr>
      <t>WP 17: Schedule 24 Recoverable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</si>
</sst>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8">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_)"/>
    <numFmt numFmtId="166" formatCode="m&quot;¤ë&quot;d&quot;¤é&quot;"/>
    <numFmt numFmtId="167" formatCode="00000"/>
    <numFmt numFmtId="168" formatCode="_-* #,##0.0_-;\-* #,##0.0_-;_-* &quot;-&quot;??_-;_-@_-"/>
    <numFmt numFmtId="169" formatCode="0.00_)"/>
    <numFmt numFmtId="170" formatCode="###,###,##0,;\(###,###,##0,\);0"/>
    <numFmt numFmtId="171" formatCode="&quot;£&quot;#,##0;\-&quot;£&quot;#,##0"/>
    <numFmt numFmtId="172" formatCode="[$-409]mmmm\ d\,\ yyyy;@"/>
    <numFmt numFmtId="173" formatCode="_(* #,##0.00000_);_(* \(#,##0.00000\);_(* &quot;-&quot;??_);_(@_)"/>
    <numFmt numFmtId="174" formatCode="[$-409]mmm\-yy;@"/>
    <numFmt numFmtId="175" formatCode="&quot;$&quot;#,##0.00"/>
    <numFmt numFmtId="176" formatCode="#,##0.0_);\(#,##0.0\)"/>
    <numFmt numFmtId="177" formatCode="_(&quot;$&quot;* #,##0.0_);_(&quot;$&quot;* \(#,##0.0\);_(&quot;$&quot;* &quot;-&quot;??_);_(@_)"/>
    <numFmt numFmtId="178" formatCode="0.0000"/>
    <numFmt numFmtId="179" formatCode="0.0%_);\(0.0%\)"/>
    <numFmt numFmtId="180" formatCode="\•\ \ @"/>
    <numFmt numFmtId="181" formatCode="#,##0,_);\(#,##0,\)"/>
    <numFmt numFmtId="182" formatCode="0.0,_);\(0.0,\)"/>
    <numFmt numFmtId="183" formatCode="0.00,_);\(0.00,\)"/>
    <numFmt numFmtId="184" formatCode="#,##0.000_);\(#,##0.000\)"/>
    <numFmt numFmtId="185" formatCode="_._.* #,##0.0_)_%;_._.* \(#,##0.0\)_%;_._.* \ ?_)_%"/>
    <numFmt numFmtId="186" formatCode="_._.* #,##0.00_)_%;_._.* \(#,##0.00\)_%;_._.* \ ?_)_%"/>
    <numFmt numFmtId="187" formatCode="_._.* #,##0.000_)_%;_._.* \(#,##0.000\)_%;_._.* \ ?_)_%"/>
    <numFmt numFmtId="188" formatCode="_._.* #,##0.0000_)_%;_._.* \(#,##0.0000\)_%;_._.* \ ?_)_%"/>
    <numFmt numFmtId="189" formatCode="_._.&quot;$&quot;* #,##0.0_)_%;_._.&quot;$&quot;* \(#,##0.0\)_%;_._.&quot;$&quot;* \ ?_)_%"/>
    <numFmt numFmtId="190" formatCode="_._.&quot;$&quot;* #,##0.00_)_%;_._.&quot;$&quot;* \(#,##0.00\)_%;_._.&quot;$&quot;* \ ?_)_%"/>
    <numFmt numFmtId="191" formatCode="_._.&quot;$&quot;* #,##0.000_)_%;_._.&quot;$&quot;* \(#,##0.000\)_%;_._.&quot;$&quot;* \ ?_)_%"/>
    <numFmt numFmtId="192" formatCode="_._.&quot;$&quot;* #,##0.0000_)_%;_._.&quot;$&quot;* \(#,##0.0000\)_%;_._.&quot;$&quot;* \ ?_)_%"/>
    <numFmt numFmtId="193" formatCode="&quot;$&quot;#,##0,_);\(&quot;$&quot;#,##0,\)"/>
    <numFmt numFmtId="194" formatCode="&quot;$&quot;#,##0.0_);\(&quot;$&quot;#,##0.0\)"/>
    <numFmt numFmtId="195" formatCode="&quot;$&quot;0.0,_);\(&quot;$&quot;0.0,\)"/>
    <numFmt numFmtId="196" formatCode="&quot;$&quot;0.00,_);\(&quot;$&quot;0.00,\)"/>
    <numFmt numFmtId="197" formatCode="&quot;$&quot;#,##0.000_);\(&quot;$&quot;#,##0.000\)"/>
    <numFmt numFmtId="198" formatCode="#,##0.0\x_);\(#,##0.0\x\)"/>
    <numFmt numFmtId="199" formatCode="#,##0.00\x_);\(#,##0.00\x\)"/>
    <numFmt numFmtId="200" formatCode="[$€-2]\ #,##0_);\([$€-2]\ #,##0\)"/>
    <numFmt numFmtId="201" formatCode="[$€-2]\ #,##0.0_);\([$€-2]\ #,##0.0\)"/>
    <numFmt numFmtId="202" formatCode="_([$€-2]* #,##0.00_);_([$€-2]* \(#,##0.00\);_([$€-2]* &quot;-&quot;??_)"/>
    <numFmt numFmtId="203" formatCode="#,##0\x;\(#,##0\x\)"/>
    <numFmt numFmtId="204" formatCode="0.0\x;\(0.0\x\)"/>
    <numFmt numFmtId="205" formatCode="#,##0.00\x;\(#,##0.00\x\)"/>
    <numFmt numFmtId="206" formatCode="#,##0.000\x;\(#,##0.000\x\)"/>
    <numFmt numFmtId="207" formatCode="0.0_);\(0.0\)"/>
    <numFmt numFmtId="208" formatCode="0%;\(0%\)"/>
    <numFmt numFmtId="209" formatCode="0.0%;\(0.0%\)"/>
    <numFmt numFmtId="210" formatCode="0.00%_);\(0.00%\)"/>
    <numFmt numFmtId="211" formatCode="0.000%_);\(0.000%\)"/>
    <numFmt numFmtId="212" formatCode="_(0_)%;\(0\)%;\ \ ?_)%"/>
    <numFmt numFmtId="213" formatCode="_._._(* 0_)%;_._.* \(0\)%;_._._(* \ ?_)%"/>
    <numFmt numFmtId="214" formatCode="_(0.0_)%;\(0.0\)%;\ \ ?_)%"/>
    <numFmt numFmtId="215" formatCode="_._._(* 0.0_)%;_._.* \(0.0\)%;_._._(* \ ?_)%"/>
    <numFmt numFmtId="216" formatCode="_(0.00_)%;\(0.00\)%;\ \ ?_)%"/>
    <numFmt numFmtId="217" formatCode="_._._(* 0.00_)%;_._.* \(0.00\)%;_._._(* \ ?_)%"/>
    <numFmt numFmtId="218" formatCode="_(0.000_)%;\(0.000\)%;\ \ ?_)%"/>
    <numFmt numFmtId="219" formatCode="_._._(* 0.000_)%;_._.* \(0.000\)%;_._._(* \ ?_)%"/>
    <numFmt numFmtId="220" formatCode="_(0.0000_)%;\(0.0000\)%;\ \ ?_)%"/>
    <numFmt numFmtId="221" formatCode="_._._(* 0.0000_)%;_._.* \(0.0000\)%;_._._(* \ ?_)%"/>
    <numFmt numFmtId="222" formatCode="0.0%"/>
    <numFmt numFmtId="223" formatCode="_(* #,##0_);_(* \(#,##0\);_(* \ ?_)"/>
    <numFmt numFmtId="224" formatCode="_(* #,##0.0_);_(* \(#,##0.0\);_(* \ ?_)"/>
    <numFmt numFmtId="225" formatCode="_(* #,##0.00_);_(* \(#,##0.00\);_(* \ ?_)"/>
    <numFmt numFmtId="226" formatCode="_(* #,##0.000_);_(* \(#,##0.000\);_(* \ ?_)"/>
    <numFmt numFmtId="227" formatCode="_(&quot;$&quot;* #,##0_);_(&quot;$&quot;* \(#,##0\);_(&quot;$&quot;* \ ?_)"/>
    <numFmt numFmtId="228" formatCode="_(&quot;$&quot;* #,##0.0_);_(&quot;$&quot;* \(#,##0.0\);_(&quot;$&quot;* \ ?_)"/>
    <numFmt numFmtId="229" formatCode="_(&quot;$&quot;* #,##0.00_);_(&quot;$&quot;* \(#,##0.00\);_(&quot;$&quot;* \ ?_)"/>
    <numFmt numFmtId="230" formatCode="_(&quot;$&quot;* #,##0.000_);_(&quot;$&quot;* \(#,##0.000\);_(&quot;$&quot;* \ ?_)"/>
    <numFmt numFmtId="231" formatCode="0000&quot;A&quot;"/>
    <numFmt numFmtId="232" formatCode="0&quot;E&quot;"/>
    <numFmt numFmtId="233" formatCode="0000&quot;E&quot;"/>
    <numFmt numFmtId="234" formatCode="0.000000"/>
    <numFmt numFmtId="235" formatCode="yyyy/mm"/>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indexed="8"/>
      <name val="Calibri"/>
      <family val="2"/>
    </font>
    <font>
      <sz val="11"/>
      <color indexed="8"/>
      <name val="Calibri"/>
      <family val="2"/>
    </font>
    <font>
      <b/>
      <sz val="10"/>
      <name val="Arial"/>
      <family val="2"/>
    </font>
    <font>
      <sz val="11"/>
      <color indexed="8"/>
      <name val="Calibri"/>
      <family val="2"/>
    </font>
    <font>
      <sz val="12"/>
      <name val="Tms Rmn"/>
    </font>
    <font>
      <sz val="11"/>
      <name val="Tms Rmn"/>
    </font>
    <font>
      <sz val="10"/>
      <color indexed="8"/>
      <name val="Arial"/>
      <family val="2"/>
    </font>
    <font>
      <sz val="10"/>
      <name val="Arial"/>
      <family val="2"/>
    </font>
    <font>
      <sz val="10"/>
      <name val="Helv"/>
    </font>
    <font>
      <sz val="11"/>
      <name val="Book Antiqua"/>
      <family val="1"/>
    </font>
    <font>
      <sz val="10"/>
      <name val="Courier"/>
      <family val="3"/>
    </font>
    <font>
      <sz val="8"/>
      <name val="Arial"/>
      <family val="2"/>
    </font>
    <font>
      <b/>
      <sz val="10"/>
      <name val="Times New Roman"/>
      <family val="1"/>
    </font>
    <font>
      <b/>
      <sz val="12"/>
      <name val="Arial"/>
      <family val="2"/>
    </font>
    <font>
      <sz val="7"/>
      <name val="Small Fonts"/>
      <family val="2"/>
    </font>
    <font>
      <b/>
      <i/>
      <sz val="16"/>
      <name val="Helv"/>
    </font>
    <font>
      <sz val="9"/>
      <name val="Arial"/>
      <family val="2"/>
    </font>
    <font>
      <sz val="10"/>
      <name val="MS Sans Serif"/>
      <family val="2"/>
    </font>
    <font>
      <sz val="14"/>
      <name val="Times New Roman"/>
      <family val="1"/>
    </font>
    <font>
      <b/>
      <sz val="10"/>
      <name val="MS Sans Serif"/>
      <family val="2"/>
    </font>
    <font>
      <b/>
      <sz val="10"/>
      <color indexed="10"/>
      <name val="Arial"/>
      <family val="2"/>
    </font>
    <font>
      <b/>
      <sz val="11"/>
      <name val="Times New Roman"/>
      <family val="1"/>
    </font>
    <font>
      <i/>
      <sz val="10"/>
      <name val="Arial"/>
      <family val="2"/>
    </font>
    <font>
      <b/>
      <sz val="11"/>
      <color indexed="8"/>
      <name val="Calibri"/>
      <family val="2"/>
    </font>
    <font>
      <u/>
      <sz val="11"/>
      <color indexed="8"/>
      <name val="Calibri"/>
      <family val="2"/>
    </font>
    <font>
      <b/>
      <u/>
      <sz val="11"/>
      <color indexed="8"/>
      <name val="Calibri"/>
      <family val="2"/>
    </font>
    <font>
      <sz val="10"/>
      <color indexed="8"/>
      <name val="Tahoma"/>
      <family val="2"/>
    </font>
    <font>
      <b/>
      <sz val="10"/>
      <color indexed="8"/>
      <name val="Arial"/>
      <family val="2"/>
    </font>
    <font>
      <u val="singleAccounting"/>
      <sz val="10"/>
      <color indexed="8"/>
      <name val="Arial"/>
      <family val="2"/>
    </font>
    <font>
      <b/>
      <u/>
      <sz val="10"/>
      <name val="Arial"/>
      <family val="2"/>
    </font>
    <font>
      <sz val="12"/>
      <name val="Arial"/>
      <family val="2"/>
    </font>
    <font>
      <b/>
      <sz val="10"/>
      <color indexed="8"/>
      <name val="Tahoma"/>
      <family val="2"/>
    </font>
    <font>
      <sz val="8"/>
      <name val="Calibri"/>
      <family val="2"/>
    </font>
    <font>
      <sz val="11"/>
      <color theme="1"/>
      <name val="Calibri"/>
      <family val="2"/>
      <scheme val="minor"/>
    </font>
    <font>
      <sz val="10"/>
      <color theme="1"/>
      <name val="Tahoma"/>
      <family val="2"/>
    </font>
    <font>
      <sz val="10"/>
      <color theme="1"/>
      <name val="Arial"/>
      <family val="2"/>
    </font>
    <font>
      <sz val="10"/>
      <name val="Arial MT"/>
    </font>
    <font>
      <b/>
      <sz val="11"/>
      <color theme="1"/>
      <name val="Arial"/>
      <family val="2"/>
    </font>
    <font>
      <b/>
      <sz val="11"/>
      <name val="Arial"/>
      <family val="2"/>
    </font>
    <font>
      <b/>
      <sz val="11"/>
      <color indexed="8"/>
      <name val="Arial"/>
      <family val="2"/>
    </font>
    <font>
      <sz val="11"/>
      <color indexed="8"/>
      <name val="Arial"/>
      <family val="2"/>
    </font>
    <font>
      <b/>
      <sz val="10"/>
      <name val="Arial MT"/>
    </font>
    <font>
      <sz val="10"/>
      <name val="Arial"/>
      <family val="2"/>
    </font>
    <font>
      <sz val="12"/>
      <name val="Arial MT"/>
    </font>
    <font>
      <i/>
      <sz val="10"/>
      <name val="Arial MT"/>
    </font>
    <font>
      <b/>
      <sz val="9"/>
      <name val="Arial MT"/>
    </font>
    <font>
      <sz val="11"/>
      <name val="Times New Roman"/>
      <family val="1"/>
    </font>
    <font>
      <sz val="12"/>
      <name val="Times New Roman"/>
      <family val="1"/>
    </font>
    <font>
      <sz val="10"/>
      <color indexed="12"/>
      <name val="Arial"/>
      <family val="2"/>
    </font>
    <font>
      <sz val="10"/>
      <color indexed="12"/>
      <name val="Times New Roman"/>
      <family val="1"/>
    </font>
    <font>
      <sz val="10"/>
      <name val="Times New Roman"/>
      <family val="1"/>
    </font>
    <font>
      <b/>
      <sz val="10"/>
      <color indexed="8"/>
      <name val="Times New Roman"/>
      <family val="1"/>
    </font>
    <font>
      <b/>
      <sz val="14"/>
      <name val="Arial"/>
      <family val="2"/>
    </font>
    <font>
      <b/>
      <i/>
      <sz val="14"/>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u val="singleAccounting"/>
      <sz val="11"/>
      <name val="Times New Roman"/>
      <family val="1"/>
    </font>
    <font>
      <i/>
      <sz val="8"/>
      <name val="Arial"/>
      <family val="2"/>
    </font>
    <font>
      <sz val="10"/>
      <name val="Book Antiqua"/>
      <family val="1"/>
    </font>
    <font>
      <sz val="10"/>
      <color indexed="42"/>
      <name val="Arial"/>
      <family val="2"/>
    </font>
    <font>
      <b/>
      <sz val="14"/>
      <name val="Book Antiqua"/>
      <family val="1"/>
    </font>
    <font>
      <i/>
      <sz val="10"/>
      <name val="Book Antiqua"/>
      <family val="1"/>
    </font>
    <font>
      <b/>
      <sz val="10"/>
      <color indexed="22"/>
      <name val="Arial"/>
      <family val="2"/>
    </font>
    <font>
      <sz val="8"/>
      <color indexed="22"/>
      <name val="Arial"/>
      <family val="2"/>
    </font>
    <font>
      <b/>
      <sz val="10"/>
      <color indexed="12"/>
      <name val="Arial"/>
      <family val="2"/>
    </font>
    <font>
      <sz val="10"/>
      <color indexed="12"/>
      <name val="Book Antiqua"/>
      <family val="1"/>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sz val="9"/>
      <name val="Times New Roman"/>
      <family val="1"/>
    </font>
    <font>
      <sz val="10"/>
      <color indexed="21"/>
      <name val="Arial"/>
      <family val="2"/>
    </font>
    <font>
      <b/>
      <sz val="8"/>
      <name val="Arial"/>
      <family val="2"/>
    </font>
    <font>
      <b/>
      <sz val="10"/>
      <color theme="1"/>
      <name val="Arial"/>
      <family val="2"/>
    </font>
    <font>
      <b/>
      <u/>
      <sz val="10"/>
      <color theme="1"/>
      <name val="Arial"/>
      <family val="2"/>
    </font>
    <font>
      <b/>
      <sz val="11"/>
      <color theme="1"/>
      <name val="Calibri"/>
      <family val="2"/>
      <scheme val="minor"/>
    </font>
    <font>
      <b/>
      <u/>
      <sz val="10"/>
      <color indexed="8"/>
      <name val="Arial"/>
      <family val="2"/>
    </font>
    <font>
      <b/>
      <u val="singleAccounting"/>
      <sz val="10"/>
      <color indexed="8"/>
      <name val="Arial"/>
      <family val="2"/>
    </font>
    <font>
      <sz val="10"/>
      <name val="Arial"/>
      <family val="2"/>
    </font>
    <font>
      <b/>
      <i/>
      <sz val="10"/>
      <name val="Arial"/>
      <family val="2"/>
    </font>
    <font>
      <i/>
      <sz val="10"/>
      <name val="Segoe UI"/>
      <family val="2"/>
    </font>
    <font>
      <i/>
      <sz val="10"/>
      <name val="MS Sans Serif"/>
      <family val="2"/>
    </font>
    <font>
      <sz val="7"/>
      <color theme="1"/>
      <name val="Times New Roman"/>
      <family val="1"/>
    </font>
  </fonts>
  <fills count="14">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47"/>
        <bgColor indexed="64"/>
      </patternFill>
    </fill>
    <fill>
      <patternFill patternType="solid">
        <fgColor theme="4" tint="0.79998168889431442"/>
        <bgColor indexed="64"/>
      </patternFill>
    </fill>
    <fill>
      <patternFill patternType="solid">
        <fgColor indexed="53"/>
        <bgColor indexed="64"/>
      </patternFill>
    </fill>
    <fill>
      <patternFill patternType="solid">
        <fgColor indexed="39"/>
        <bgColor indexed="64"/>
      </patternFill>
    </fill>
    <fill>
      <patternFill patternType="solid">
        <fgColor indexed="38"/>
        <bgColor indexed="64"/>
      </patternFill>
    </fill>
    <fill>
      <patternFill patternType="solid">
        <fgColor indexed="13"/>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right/>
      <top style="double">
        <color indexed="64"/>
      </top>
      <bottom/>
      <diagonal/>
    </border>
    <border>
      <left/>
      <right/>
      <top/>
      <bottom style="hair">
        <color indexed="64"/>
      </bottom>
      <diagonal/>
    </border>
    <border>
      <left/>
      <right/>
      <top/>
      <bottom style="hair">
        <color indexed="2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83">
    <xf numFmtId="0" fontId="0" fillId="0" borderId="0"/>
    <xf numFmtId="0" fontId="10" fillId="0" borderId="0" applyNumberFormat="0" applyFill="0" applyBorder="0" applyAlignment="0" applyProtection="0"/>
    <xf numFmtId="165" fontId="11" fillId="0" borderId="0"/>
    <xf numFmtId="165" fontId="11" fillId="0" borderId="0"/>
    <xf numFmtId="165" fontId="11" fillId="0" borderId="0"/>
    <xf numFmtId="165" fontId="11" fillId="0" borderId="0"/>
    <xf numFmtId="165" fontId="11" fillId="0" borderId="0"/>
    <xf numFmtId="165" fontId="11" fillId="0" borderId="0"/>
    <xf numFmtId="165" fontId="11" fillId="0" borderId="0"/>
    <xf numFmtId="165" fontId="11" fillId="0" borderId="0"/>
    <xf numFmtId="41" fontId="12" fillId="0" borderId="0" applyFont="0" applyFill="0" applyBorder="0" applyAlignment="0" applyProtection="0"/>
    <xf numFmtId="41" fontId="12"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 fontId="14" fillId="0" borderId="0" applyFont="0" applyFill="0" applyBorder="0" applyAlignment="0" applyProtection="0"/>
    <xf numFmtId="43" fontId="32" fillId="0" borderId="0" applyFont="0" applyFill="0" applyBorder="0" applyAlignment="0" applyProtection="0"/>
    <xf numFmtId="0" fontId="14" fillId="0" borderId="0"/>
    <xf numFmtId="166" fontId="13" fillId="0" borderId="0" applyFont="0" applyFill="0" applyBorder="0" applyAlignment="0" applyProtection="0"/>
    <xf numFmtId="167" fontId="1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8" fontId="14" fillId="0" borderId="0" applyFont="0" applyFill="0" applyBorder="0" applyAlignment="0" applyProtection="0"/>
    <xf numFmtId="44" fontId="12" fillId="0" borderId="0" applyFont="0" applyFill="0" applyBorder="0" applyAlignment="0" applyProtection="0"/>
    <xf numFmtId="0" fontId="16" fillId="0" borderId="0">
      <alignment horizontal="left"/>
    </xf>
    <xf numFmtId="164" fontId="15" fillId="0" borderId="0" applyFont="0" applyFill="0" applyBorder="0" applyAlignment="0" applyProtection="0"/>
    <xf numFmtId="168" fontId="13" fillId="0" borderId="0" applyFont="0" applyFill="0" applyBorder="0" applyAlignment="0" applyProtection="0">
      <alignment horizontal="center"/>
    </xf>
    <xf numFmtId="164" fontId="15" fillId="0" borderId="0" applyFont="0" applyFill="0" applyBorder="0" applyAlignment="0" applyProtection="0"/>
    <xf numFmtId="38" fontId="17" fillId="2" borderId="0" applyNumberFormat="0" applyBorder="0" applyAlignment="0" applyProtection="0"/>
    <xf numFmtId="0" fontId="18" fillId="0" borderId="1">
      <alignment horizontal="left"/>
    </xf>
    <xf numFmtId="0" fontId="19" fillId="0" borderId="2" applyNumberFormat="0" applyAlignment="0" applyProtection="0">
      <alignment horizontal="left" vertical="center"/>
    </xf>
    <xf numFmtId="0" fontId="19" fillId="0" borderId="3">
      <alignment horizontal="left" vertical="center"/>
    </xf>
    <xf numFmtId="14" fontId="8" fillId="3" borderId="4">
      <alignment horizontal="center" vertical="center" wrapText="1"/>
    </xf>
    <xf numFmtId="10" fontId="17" fillId="4" borderId="5" applyNumberFormat="0" applyBorder="0" applyAlignment="0" applyProtection="0"/>
    <xf numFmtId="37" fontId="20" fillId="0" borderId="0"/>
    <xf numFmtId="169" fontId="21" fillId="0" borderId="0"/>
    <xf numFmtId="0" fontId="13" fillId="0" borderId="0"/>
    <xf numFmtId="0" fontId="22" fillId="0" borderId="0"/>
    <xf numFmtId="0" fontId="16" fillId="0" borderId="0"/>
    <xf numFmtId="0" fontId="40" fillId="0" borderId="0"/>
    <xf numFmtId="0" fontId="40" fillId="0" borderId="0"/>
    <xf numFmtId="0" fontId="40" fillId="0" borderId="0"/>
    <xf numFmtId="0" fontId="40" fillId="0" borderId="0"/>
    <xf numFmtId="0" fontId="32" fillId="0" borderId="0"/>
    <xf numFmtId="0" fontId="13" fillId="0" borderId="0"/>
    <xf numFmtId="0" fontId="13" fillId="0" borderId="0"/>
    <xf numFmtId="0" fontId="32" fillId="0" borderId="0"/>
    <xf numFmtId="0" fontId="39" fillId="0" borderId="0"/>
    <xf numFmtId="0" fontId="39" fillId="0" borderId="0"/>
    <xf numFmtId="0" fontId="6" fillId="0" borderId="0"/>
    <xf numFmtId="0" fontId="13" fillId="0" borderId="0">
      <alignment vertical="top"/>
    </xf>
    <xf numFmtId="0" fontId="13" fillId="0" borderId="0"/>
    <xf numFmtId="0" fontId="16" fillId="0" borderId="0"/>
    <xf numFmtId="0" fontId="13" fillId="0" borderId="0"/>
    <xf numFmtId="0" fontId="41" fillId="0" borderId="0"/>
    <xf numFmtId="0" fontId="22" fillId="0" borderId="0"/>
    <xf numFmtId="0" fontId="12" fillId="0" borderId="0"/>
    <xf numFmtId="0" fontId="12" fillId="0" borderId="0"/>
    <xf numFmtId="0" fontId="13" fillId="0" borderId="0"/>
    <xf numFmtId="0" fontId="39" fillId="0" borderId="0"/>
    <xf numFmtId="0" fontId="9" fillId="0" borderId="0"/>
    <xf numFmtId="0" fontId="6" fillId="0" borderId="0"/>
    <xf numFmtId="0" fontId="13" fillId="0" borderId="0">
      <alignment vertical="top"/>
    </xf>
    <xf numFmtId="0" fontId="13" fillId="0" borderId="0">
      <alignment vertical="top"/>
    </xf>
    <xf numFmtId="0" fontId="13" fillId="0" borderId="0">
      <alignment vertical="top"/>
    </xf>
    <xf numFmtId="0" fontId="39" fillId="0" borderId="0"/>
    <xf numFmtId="0" fontId="39" fillId="0" borderId="0"/>
    <xf numFmtId="0" fontId="6" fillId="0" borderId="0"/>
    <xf numFmtId="0" fontId="23" fillId="0" borderId="0"/>
    <xf numFmtId="0" fontId="23" fillId="0" borderId="0"/>
    <xf numFmtId="0" fontId="23" fillId="0" borderId="0"/>
    <xf numFmtId="170" fontId="24" fillId="5" borderId="0"/>
    <xf numFmtId="0" fontId="14" fillId="0" borderId="0"/>
    <xf numFmtId="171" fontId="23" fillId="0" borderId="0" applyFont="0" applyFill="0" applyBorder="0" applyAlignment="0" applyProtection="0"/>
    <xf numFmtId="10" fontId="13"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4" fontId="23" fillId="0" borderId="0" applyFont="0" applyFill="0" applyBorder="0" applyAlignment="0" applyProtection="0"/>
    <xf numFmtId="0" fontId="25" fillId="0" borderId="4">
      <alignment horizontal="center"/>
    </xf>
    <xf numFmtId="3" fontId="23" fillId="0" borderId="0" applyFont="0" applyFill="0" applyBorder="0" applyAlignment="0" applyProtection="0"/>
    <xf numFmtId="0" fontId="23" fillId="6" borderId="0" applyNumberFormat="0" applyFont="0" applyBorder="0" applyAlignment="0" applyProtection="0"/>
    <xf numFmtId="0" fontId="13" fillId="0" borderId="0" applyNumberFormat="0" applyFill="0" applyBorder="0" applyAlignment="0" applyProtection="0"/>
    <xf numFmtId="0" fontId="26" fillId="0" borderId="0" applyFill="0" applyBorder="0" applyProtection="0">
      <alignment horizontal="left" vertical="top"/>
    </xf>
    <xf numFmtId="40" fontId="27" fillId="0" borderId="0"/>
    <xf numFmtId="43" fontId="39" fillId="0" borderId="0" applyFont="0" applyFill="0" applyBorder="0" applyAlignment="0" applyProtection="0"/>
    <xf numFmtId="43" fontId="39" fillId="0" borderId="0" applyFont="0" applyFill="0" applyBorder="0" applyAlignment="0" applyProtection="0"/>
    <xf numFmtId="0" fontId="13" fillId="0" borderId="0">
      <alignment vertical="top"/>
    </xf>
    <xf numFmtId="0" fontId="48" fillId="0" borderId="0">
      <alignment vertical="top"/>
    </xf>
    <xf numFmtId="175" fontId="49" fillId="0" borderId="0" applyProtection="0"/>
    <xf numFmtId="44" fontId="13" fillId="0" borderId="0" applyFont="0" applyFill="0" applyBorder="0" applyAlignment="0" applyProtection="0"/>
    <xf numFmtId="9" fontId="49" fillId="0" borderId="0" applyFont="0" applyFill="0" applyBorder="0" applyAlignment="0" applyProtection="0"/>
    <xf numFmtId="0" fontId="13" fillId="0" borderId="0"/>
    <xf numFmtId="179" fontId="13" fillId="9" borderId="0" applyNumberFormat="0" applyFill="0" applyBorder="0" applyAlignment="0" applyProtection="0">
      <alignment horizontal="right" vertical="center"/>
    </xf>
    <xf numFmtId="179" fontId="54" fillId="0" borderId="0" applyNumberFormat="0" applyFill="0" applyBorder="0" applyAlignment="0" applyProtection="0"/>
    <xf numFmtId="0" fontId="13" fillId="0" borderId="6" applyNumberFormat="0" applyFont="0" applyFill="0" applyAlignment="0" applyProtection="0"/>
    <xf numFmtId="180" fontId="53" fillId="0" borderId="0" applyFont="0" applyFill="0" applyBorder="0" applyAlignment="0" applyProtection="0"/>
    <xf numFmtId="37" fontId="55" fillId="0" borderId="0" applyFont="0" applyFill="0" applyBorder="0" applyAlignment="0" applyProtection="0">
      <alignment vertical="center"/>
      <protection locked="0"/>
    </xf>
    <xf numFmtId="181" fontId="56" fillId="0" borderId="0" applyFont="0" applyFill="0" applyBorder="0" applyAlignment="0" applyProtection="0"/>
    <xf numFmtId="0" fontId="57" fillId="0" borderId="0"/>
    <xf numFmtId="175" fontId="17" fillId="0" borderId="0" applyFill="0"/>
    <xf numFmtId="175" fontId="17" fillId="0" borderId="0">
      <alignment horizontal="center"/>
    </xf>
    <xf numFmtId="0" fontId="17" fillId="0" borderId="0" applyFill="0">
      <alignment horizontal="center"/>
    </xf>
    <xf numFmtId="175" fontId="58" fillId="0" borderId="26" applyFill="0"/>
    <xf numFmtId="0" fontId="13" fillId="0" borderId="0" applyFont="0" applyAlignment="0"/>
    <xf numFmtId="0" fontId="59" fillId="0" borderId="0" applyFill="0">
      <alignment vertical="top"/>
    </xf>
    <xf numFmtId="0" fontId="58" fillId="0" borderId="0" applyFill="0">
      <alignment horizontal="left" vertical="top"/>
    </xf>
    <xf numFmtId="175" fontId="19" fillId="0" borderId="19" applyFill="0"/>
    <xf numFmtId="0" fontId="13" fillId="0" borderId="0" applyNumberFormat="0" applyFont="0" applyAlignment="0"/>
    <xf numFmtId="0" fontId="59" fillId="0" borderId="0" applyFill="0">
      <alignment wrapText="1"/>
    </xf>
    <xf numFmtId="0" fontId="58" fillId="0" borderId="0" applyFill="0">
      <alignment horizontal="left" vertical="top" wrapText="1"/>
    </xf>
    <xf numFmtId="175" fontId="44" fillId="0" borderId="0" applyFill="0"/>
    <xf numFmtId="0" fontId="60" fillId="0" borderId="0" applyNumberFormat="0" applyFont="0" applyAlignment="0">
      <alignment horizontal="center"/>
    </xf>
    <xf numFmtId="0" fontId="61" fillId="0" borderId="0" applyFill="0">
      <alignment vertical="top" wrapText="1"/>
    </xf>
    <xf numFmtId="0" fontId="19" fillId="0" borderId="0" applyFill="0">
      <alignment horizontal="left" vertical="top" wrapText="1"/>
    </xf>
    <xf numFmtId="175" fontId="13" fillId="0" borderId="0" applyFill="0"/>
    <xf numFmtId="0" fontId="60" fillId="0" borderId="0" applyNumberFormat="0" applyFont="0" applyAlignment="0">
      <alignment horizontal="center"/>
    </xf>
    <xf numFmtId="0" fontId="62" fillId="0" borderId="0" applyFill="0">
      <alignment vertical="center" wrapText="1"/>
    </xf>
    <xf numFmtId="0" fontId="36" fillId="0" borderId="0">
      <alignment horizontal="left" vertical="center" wrapText="1"/>
    </xf>
    <xf numFmtId="175" fontId="22" fillId="0" borderId="0" applyFill="0"/>
    <xf numFmtId="0" fontId="60" fillId="0" borderId="0" applyNumberFormat="0" applyFont="0" applyAlignment="0">
      <alignment horizontal="center"/>
    </xf>
    <xf numFmtId="0" fontId="28" fillId="0" borderId="0" applyFill="0">
      <alignment horizontal="center" vertical="center" wrapText="1"/>
    </xf>
    <xf numFmtId="0" fontId="13" fillId="0" borderId="0" applyFill="0">
      <alignment horizontal="center" vertical="center" wrapText="1"/>
    </xf>
    <xf numFmtId="175" fontId="63" fillId="0" borderId="0" applyFill="0"/>
    <xf numFmtId="0" fontId="60" fillId="0" borderId="0" applyNumberFormat="0" applyFont="0" applyAlignment="0">
      <alignment horizontal="center"/>
    </xf>
    <xf numFmtId="0" fontId="64" fillId="0" borderId="0" applyFill="0">
      <alignment horizontal="center" vertical="center" wrapText="1"/>
    </xf>
    <xf numFmtId="0" fontId="65" fillId="0" borderId="0" applyFill="0">
      <alignment horizontal="center" vertical="center" wrapText="1"/>
    </xf>
    <xf numFmtId="175" fontId="66" fillId="0" borderId="0" applyFill="0"/>
    <xf numFmtId="0" fontId="60" fillId="0" borderId="0" applyNumberFormat="0" applyFont="0" applyAlignment="0">
      <alignment horizontal="center"/>
    </xf>
    <xf numFmtId="0" fontId="67" fillId="0" borderId="0">
      <alignment horizontal="center" wrapText="1"/>
    </xf>
    <xf numFmtId="0" fontId="63" fillId="0" borderId="0" applyFill="0">
      <alignment horizontal="center" wrapText="1"/>
    </xf>
    <xf numFmtId="176" fontId="68" fillId="0" borderId="0" applyFont="0" applyFill="0" applyBorder="0" applyAlignment="0" applyProtection="0">
      <protection locked="0"/>
    </xf>
    <xf numFmtId="182" fontId="68" fillId="0" borderId="0" applyFont="0" applyFill="0" applyBorder="0" applyAlignment="0" applyProtection="0">
      <protection locked="0"/>
    </xf>
    <xf numFmtId="39" fontId="13" fillId="0" borderId="0" applyFont="0" applyFill="0" applyBorder="0" applyAlignment="0" applyProtection="0"/>
    <xf numFmtId="183" fontId="69" fillId="0" borderId="0" applyFont="0" applyFill="0" applyBorder="0" applyAlignment="0" applyProtection="0"/>
    <xf numFmtId="184" fontId="56" fillId="0" borderId="0" applyFont="0" applyFill="0" applyBorder="0" applyAlignment="0" applyProtection="0"/>
    <xf numFmtId="0" fontId="13" fillId="0" borderId="6" applyNumberFormat="0" applyFont="0" applyFill="0" applyBorder="0" applyProtection="0">
      <alignment horizontal="centerContinuous" vertical="center"/>
    </xf>
    <xf numFmtId="0" fontId="70" fillId="0" borderId="0" applyFill="0" applyBorder="0" applyProtection="0">
      <alignment horizontal="center"/>
      <protection locked="0"/>
    </xf>
    <xf numFmtId="185" fontId="52" fillId="0" borderId="0" applyFont="0" applyFill="0" applyBorder="0" applyAlignment="0" applyProtection="0"/>
    <xf numFmtId="186" fontId="71" fillId="0" borderId="0" applyFont="0" applyFill="0" applyBorder="0" applyAlignment="0" applyProtection="0"/>
    <xf numFmtId="187" fontId="71" fillId="0" borderId="0" applyFont="0" applyFill="0" applyBorder="0" applyAlignment="0" applyProtection="0"/>
    <xf numFmtId="188" fontId="44" fillId="0" borderId="0" applyFont="0" applyFill="0" applyBorder="0" applyAlignment="0" applyProtection="0">
      <protection locked="0"/>
    </xf>
    <xf numFmtId="43" fontId="56" fillId="0" borderId="0" applyFont="0" applyFill="0" applyBorder="0" applyAlignment="0" applyProtection="0"/>
    <xf numFmtId="3" fontId="13" fillId="0" borderId="0" applyFont="0" applyFill="0" applyBorder="0" applyAlignment="0" applyProtection="0"/>
    <xf numFmtId="0" fontId="58" fillId="0" borderId="0" applyFill="0" applyBorder="0" applyAlignment="0" applyProtection="0">
      <protection locked="0"/>
    </xf>
    <xf numFmtId="189" fontId="71" fillId="0" borderId="0" applyFont="0" applyFill="0" applyBorder="0" applyAlignment="0" applyProtection="0"/>
    <xf numFmtId="190" fontId="71" fillId="0" borderId="0" applyFont="0" applyFill="0" applyBorder="0" applyAlignment="0" applyProtection="0"/>
    <xf numFmtId="191" fontId="71" fillId="0" borderId="0" applyFont="0" applyFill="0" applyBorder="0" applyAlignment="0" applyProtection="0"/>
    <xf numFmtId="192" fontId="44" fillId="0" borderId="0" applyFont="0" applyFill="0" applyBorder="0" applyAlignment="0" applyProtection="0">
      <protection locked="0"/>
    </xf>
    <xf numFmtId="44" fontId="13"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93" fontId="56" fillId="0" borderId="0" applyFont="0" applyFill="0" applyBorder="0" applyAlignment="0" applyProtection="0"/>
    <xf numFmtId="194" fontId="13" fillId="0" borderId="0" applyFont="0" applyFill="0" applyBorder="0" applyAlignment="0" applyProtection="0"/>
    <xf numFmtId="195" fontId="68" fillId="0" borderId="0" applyFont="0" applyFill="0" applyBorder="0" applyAlignment="0" applyProtection="0">
      <protection locked="0"/>
    </xf>
    <xf numFmtId="7" fontId="17" fillId="0" borderId="0" applyFont="0" applyFill="0" applyBorder="0" applyAlignment="0" applyProtection="0"/>
    <xf numFmtId="196" fontId="69" fillId="0" borderId="0" applyFont="0" applyFill="0" applyBorder="0" applyAlignment="0" applyProtection="0"/>
    <xf numFmtId="197" fontId="18" fillId="0" borderId="0" applyFont="0" applyFill="0" applyBorder="0" applyAlignment="0" applyProtection="0"/>
    <xf numFmtId="0" fontId="72" fillId="10" borderId="27" applyNumberFormat="0" applyFont="0" applyFill="0" applyAlignment="0" applyProtection="0">
      <alignment horizontal="left" indent="1"/>
    </xf>
    <xf numFmtId="14" fontId="13" fillId="0" borderId="0" applyFont="0" applyFill="0" applyBorder="0" applyAlignment="0" applyProtection="0"/>
    <xf numFmtId="5" fontId="73" fillId="0" borderId="0" applyBorder="0"/>
    <xf numFmtId="194" fontId="73" fillId="0" borderId="0" applyBorder="0"/>
    <xf numFmtId="7" fontId="73" fillId="0" borderId="0" applyBorder="0"/>
    <xf numFmtId="37" fontId="73" fillId="0" borderId="0" applyBorder="0"/>
    <xf numFmtId="176" fontId="73" fillId="0" borderId="0" applyBorder="0"/>
    <xf numFmtId="198" fontId="73" fillId="0" borderId="0" applyBorder="0"/>
    <xf numFmtId="39" fontId="73" fillId="0" borderId="0" applyBorder="0"/>
    <xf numFmtId="199" fontId="73" fillId="0" borderId="0" applyBorder="0"/>
    <xf numFmtId="7" fontId="13" fillId="0" borderId="0" applyFont="0" applyFill="0" applyBorder="0" applyAlignment="0" applyProtection="0"/>
    <xf numFmtId="200" fontId="56" fillId="0" borderId="0" applyFont="0" applyFill="0" applyBorder="0" applyAlignment="0" applyProtection="0"/>
    <xf numFmtId="201" fontId="56" fillId="0" borderId="0" applyFont="0" applyFill="0" applyAlignment="0" applyProtection="0"/>
    <xf numFmtId="200" fontId="56" fillId="0" borderId="0" applyFont="0" applyFill="0" applyBorder="0" applyAlignment="0" applyProtection="0"/>
    <xf numFmtId="202" fontId="17" fillId="0" borderId="0" applyFont="0" applyFill="0" applyBorder="0" applyAlignment="0" applyProtection="0"/>
    <xf numFmtId="2" fontId="13" fillId="0" borderId="0" applyFont="0" applyFill="0" applyBorder="0" applyAlignment="0" applyProtection="0"/>
    <xf numFmtId="176" fontId="74" fillId="0" borderId="0" applyNumberFormat="0" applyFill="0" applyBorder="0" applyAlignment="0" applyProtection="0"/>
    <xf numFmtId="0" fontId="17" fillId="0" borderId="0" applyFont="0" applyFill="0" applyBorder="0" applyAlignment="0" applyProtection="0"/>
    <xf numFmtId="0" fontId="74" fillId="0" borderId="0" applyNumberFormat="0" applyFill="0" applyBorder="0" applyAlignment="0" applyProtection="0"/>
    <xf numFmtId="0" fontId="70" fillId="0" borderId="0" applyFill="0" applyAlignment="0" applyProtection="0">
      <protection locked="0"/>
    </xf>
    <xf numFmtId="0" fontId="70" fillId="0" borderId="6" applyFill="0" applyAlignment="0" applyProtection="0">
      <protection locked="0"/>
    </xf>
    <xf numFmtId="0" fontId="75" fillId="0" borderId="4"/>
    <xf numFmtId="0" fontId="76" fillId="0" borderId="0"/>
    <xf numFmtId="0" fontId="77" fillId="0" borderId="6" applyNumberFormat="0" applyFill="0" applyAlignment="0" applyProtection="0"/>
    <xf numFmtId="0" fontId="78" fillId="11" borderId="0" applyNumberFormat="0" applyFont="0" applyBorder="0" applyAlignment="0" applyProtection="0"/>
    <xf numFmtId="0" fontId="79" fillId="12" borderId="5" applyNumberFormat="0" applyAlignment="0" applyProtection="0"/>
    <xf numFmtId="5" fontId="80" fillId="0" borderId="0" applyBorder="0"/>
    <xf numFmtId="194" fontId="80" fillId="0" borderId="0" applyBorder="0"/>
    <xf numFmtId="7" fontId="80" fillId="0" borderId="0" applyBorder="0"/>
    <xf numFmtId="37" fontId="80" fillId="0" borderId="0" applyBorder="0"/>
    <xf numFmtId="176" fontId="80" fillId="0" borderId="0" applyBorder="0"/>
    <xf numFmtId="198" fontId="80" fillId="0" borderId="0" applyBorder="0"/>
    <xf numFmtId="39" fontId="80" fillId="0" borderId="0" applyBorder="0"/>
    <xf numFmtId="199" fontId="80" fillId="0" borderId="0" applyBorder="0"/>
    <xf numFmtId="0" fontId="78" fillId="0" borderId="22" applyNumberFormat="0" applyFont="0" applyFill="0" applyAlignment="0" applyProtection="0"/>
    <xf numFmtId="203"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0" fontId="56" fillId="0" borderId="0"/>
    <xf numFmtId="0" fontId="13" fillId="0" borderId="0"/>
    <xf numFmtId="0" fontId="13" fillId="0" borderId="0"/>
    <xf numFmtId="208" fontId="13" fillId="0" borderId="0" applyFont="0" applyFill="0" applyBorder="0" applyAlignment="0" applyProtection="0"/>
    <xf numFmtId="209" fontId="22" fillId="5" borderId="0" applyFont="0" applyFill="0" applyBorder="0" applyAlignment="0" applyProtection="0"/>
    <xf numFmtId="210" fontId="22" fillId="5" borderId="0" applyFont="0" applyFill="0" applyBorder="0" applyAlignment="0" applyProtection="0"/>
    <xf numFmtId="211" fontId="13" fillId="0" borderId="0" applyFont="0" applyFill="0" applyBorder="0" applyAlignment="0" applyProtection="0"/>
    <xf numFmtId="212" fontId="71" fillId="0" borderId="0" applyFont="0" applyFill="0" applyBorder="0" applyAlignment="0" applyProtection="0"/>
    <xf numFmtId="213" fontId="52" fillId="0" borderId="0" applyFont="0" applyFill="0" applyBorder="0" applyAlignment="0" applyProtection="0"/>
    <xf numFmtId="214" fontId="71" fillId="0" borderId="0" applyFont="0" applyFill="0" applyBorder="0" applyAlignment="0" applyProtection="0"/>
    <xf numFmtId="215" fontId="52" fillId="0" borderId="0" applyFont="0" applyFill="0" applyBorder="0" applyAlignment="0" applyProtection="0"/>
    <xf numFmtId="216" fontId="71" fillId="0" borderId="0" applyFont="0" applyFill="0" applyBorder="0" applyAlignment="0" applyProtection="0"/>
    <xf numFmtId="217" fontId="52" fillId="0" borderId="0" applyFont="0" applyFill="0" applyBorder="0" applyAlignment="0" applyProtection="0"/>
    <xf numFmtId="218" fontId="71" fillId="0" borderId="0" applyFont="0" applyFill="0" applyBorder="0" applyAlignment="0" applyProtection="0"/>
    <xf numFmtId="219" fontId="52" fillId="0" borderId="0" applyFont="0" applyFill="0" applyBorder="0" applyAlignment="0" applyProtection="0"/>
    <xf numFmtId="220" fontId="44" fillId="0" borderId="0" applyFont="0" applyFill="0" applyBorder="0" applyAlignment="0" applyProtection="0">
      <protection locked="0"/>
    </xf>
    <xf numFmtId="221" fontId="5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3" fillId="0" borderId="0" applyBorder="0"/>
    <xf numFmtId="222" fontId="73" fillId="0" borderId="0" applyBorder="0"/>
    <xf numFmtId="10" fontId="73" fillId="0" borderId="0" applyBorder="0"/>
    <xf numFmtId="3" fontId="13" fillId="0" borderId="0">
      <alignment horizontal="left" vertical="top"/>
    </xf>
    <xf numFmtId="3" fontId="13" fillId="0" borderId="0">
      <alignment horizontal="right" vertical="top"/>
    </xf>
    <xf numFmtId="41" fontId="36" fillId="2" borderId="16" applyFill="0"/>
    <xf numFmtId="0" fontId="81" fillId="0" borderId="0">
      <alignment horizontal="left" indent="7"/>
    </xf>
    <xf numFmtId="41" fontId="36" fillId="0" borderId="16" applyFill="0">
      <alignment horizontal="left" indent="2"/>
    </xf>
    <xf numFmtId="175" fontId="70" fillId="0" borderId="6" applyFill="0">
      <alignment horizontal="right"/>
    </xf>
    <xf numFmtId="0" fontId="8" fillId="0" borderId="5" applyNumberFormat="0" applyFont="0" applyBorder="0">
      <alignment horizontal="right"/>
    </xf>
    <xf numFmtId="0" fontId="82" fillId="0" borderId="0" applyFill="0"/>
    <xf numFmtId="0" fontId="19" fillId="0" borderId="0" applyFill="0"/>
    <xf numFmtId="4" fontId="70" fillId="0" borderId="6" applyFill="0"/>
    <xf numFmtId="0" fontId="13" fillId="0" borderId="0" applyNumberFormat="0" applyFont="0" applyBorder="0" applyAlignment="0"/>
    <xf numFmtId="0" fontId="61" fillId="0" borderId="0" applyFill="0">
      <alignment horizontal="left" indent="1"/>
    </xf>
    <xf numFmtId="0" fontId="83" fillId="0" borderId="0" applyFill="0">
      <alignment horizontal="left" indent="1"/>
    </xf>
    <xf numFmtId="4" fontId="22" fillId="0" borderId="0" applyFill="0"/>
    <xf numFmtId="0" fontId="13" fillId="0" borderId="0" applyNumberFormat="0" applyFont="0" applyFill="0" applyBorder="0" applyAlignment="0"/>
    <xf numFmtId="0" fontId="61" fillId="0" borderId="0" applyFill="0">
      <alignment horizontal="left" indent="2"/>
    </xf>
    <xf numFmtId="0" fontId="19" fillId="0" borderId="0" applyFill="0">
      <alignment horizontal="left" indent="2"/>
    </xf>
    <xf numFmtId="4" fontId="22" fillId="0" borderId="0" applyFill="0"/>
    <xf numFmtId="0" fontId="13" fillId="0" borderId="0" applyNumberFormat="0" applyFont="0" applyBorder="0" applyAlignment="0"/>
    <xf numFmtId="0" fontId="84" fillId="0" borderId="0">
      <alignment horizontal="left" indent="3"/>
    </xf>
    <xf numFmtId="0" fontId="85" fillId="0" borderId="0" applyFill="0">
      <alignment horizontal="left" indent="3"/>
    </xf>
    <xf numFmtId="4" fontId="22" fillId="0" borderId="0" applyFill="0"/>
    <xf numFmtId="0" fontId="13" fillId="0" borderId="0" applyNumberFormat="0" applyFont="0" applyBorder="0" applyAlignment="0"/>
    <xf numFmtId="0" fontId="28" fillId="0" borderId="0">
      <alignment horizontal="left" indent="4"/>
    </xf>
    <xf numFmtId="0" fontId="13" fillId="0" borderId="0" applyFill="0">
      <alignment horizontal="left" indent="4"/>
    </xf>
    <xf numFmtId="4" fontId="63" fillId="0" borderId="0" applyFill="0"/>
    <xf numFmtId="0" fontId="13" fillId="0" borderId="0" applyNumberFormat="0" applyFont="0" applyBorder="0" applyAlignment="0"/>
    <xf numFmtId="0" fontId="64" fillId="0" borderId="0">
      <alignment horizontal="left" indent="5"/>
    </xf>
    <xf numFmtId="0" fontId="65" fillId="0" borderId="0" applyFill="0">
      <alignment horizontal="left" indent="5"/>
    </xf>
    <xf numFmtId="4" fontId="66" fillId="0" borderId="0" applyFill="0"/>
    <xf numFmtId="0" fontId="13" fillId="0" borderId="0" applyNumberFormat="0" applyFont="0" applyFill="0" applyBorder="0" applyAlignment="0"/>
    <xf numFmtId="0" fontId="67" fillId="0" borderId="0" applyFill="0">
      <alignment horizontal="left" indent="6"/>
    </xf>
    <xf numFmtId="0" fontId="63" fillId="0" borderId="0" applyFill="0">
      <alignment horizontal="left" indent="6"/>
    </xf>
    <xf numFmtId="0" fontId="78" fillId="0" borderId="23" applyNumberFormat="0" applyFont="0" applyFill="0" applyAlignment="0" applyProtection="0"/>
    <xf numFmtId="0" fontId="86" fillId="0" borderId="0" applyNumberFormat="0" applyFill="0" applyBorder="0" applyAlignment="0" applyProtection="0"/>
    <xf numFmtId="0" fontId="87" fillId="0" borderId="0"/>
    <xf numFmtId="0" fontId="78" fillId="10" borderId="0" applyNumberFormat="0" applyFont="0" applyBorder="0" applyAlignment="0" applyProtection="0"/>
    <xf numFmtId="209" fontId="88" fillId="0" borderId="3" applyNumberFormat="0" applyFont="0" applyFill="0" applyAlignment="0" applyProtection="0"/>
    <xf numFmtId="0" fontId="13" fillId="0" borderId="19" applyNumberFormat="0" applyFont="0" applyFill="0" applyAlignment="0" applyProtection="0"/>
    <xf numFmtId="0" fontId="89" fillId="0" borderId="0" applyNumberFormat="0" applyFill="0" applyBorder="0" applyAlignment="0" applyProtection="0"/>
    <xf numFmtId="223" fontId="52" fillId="0" borderId="0" applyFont="0" applyFill="0" applyBorder="0" applyAlignment="0" applyProtection="0"/>
    <xf numFmtId="224" fontId="52" fillId="0" borderId="0" applyFont="0" applyFill="0" applyBorder="0" applyAlignment="0" applyProtection="0"/>
    <xf numFmtId="225" fontId="52" fillId="0" borderId="0" applyFont="0" applyFill="0" applyBorder="0" applyAlignment="0" applyProtection="0"/>
    <xf numFmtId="226" fontId="52" fillId="0" borderId="0" applyFont="0" applyFill="0" applyBorder="0" applyAlignment="0" applyProtection="0"/>
    <xf numFmtId="227" fontId="52" fillId="0" borderId="0" applyFont="0" applyFill="0" applyBorder="0" applyAlignment="0" applyProtection="0"/>
    <xf numFmtId="228" fontId="52" fillId="0" borderId="0" applyFont="0" applyFill="0" applyBorder="0" applyAlignment="0" applyProtection="0"/>
    <xf numFmtId="229" fontId="52" fillId="0" borderId="0" applyFont="0" applyFill="0" applyBorder="0" applyAlignment="0" applyProtection="0"/>
    <xf numFmtId="230" fontId="52" fillId="0" borderId="0" applyFont="0" applyFill="0" applyBorder="0" applyAlignment="0" applyProtection="0"/>
    <xf numFmtId="231" fontId="90" fillId="10" borderId="28" applyFont="0" applyFill="0" applyBorder="0" applyAlignment="0" applyProtection="0"/>
    <xf numFmtId="231" fontId="56" fillId="0" borderId="0" applyFont="0" applyFill="0" applyBorder="0" applyAlignment="0" applyProtection="0"/>
    <xf numFmtId="232" fontId="69" fillId="0" borderId="0" applyFont="0" applyFill="0" applyBorder="0" applyAlignment="0" applyProtection="0"/>
    <xf numFmtId="233" fontId="18" fillId="0" borderId="3" applyFont="0" applyFill="0" applyBorder="0" applyAlignment="0" applyProtection="0">
      <alignment horizontal="right"/>
      <protection locked="0"/>
    </xf>
    <xf numFmtId="9" fontId="39" fillId="0" borderId="0" applyFont="0" applyFill="0" applyBorder="0" applyAlignment="0" applyProtection="0"/>
    <xf numFmtId="0" fontId="6" fillId="0" borderId="0"/>
    <xf numFmtId="0" fontId="96" fillId="0" borderId="0"/>
    <xf numFmtId="0" fontId="13" fillId="0" borderId="0"/>
  </cellStyleXfs>
  <cellXfs count="460">
    <xf numFmtId="0" fontId="0" fillId="0" borderId="0" xfId="0"/>
    <xf numFmtId="0" fontId="8" fillId="0" borderId="0" xfId="73" applyFont="1" applyFill="1" applyAlignment="1">
      <alignment horizontal="centerContinuous"/>
    </xf>
    <xf numFmtId="0" fontId="13" fillId="0" borderId="0" xfId="73" applyFont="1" applyAlignment="1">
      <alignment horizontal="centerContinuous"/>
    </xf>
    <xf numFmtId="0" fontId="13" fillId="0" borderId="0" xfId="39" applyFont="1"/>
    <xf numFmtId="0" fontId="8" fillId="0" borderId="0" xfId="73" applyFont="1" applyAlignment="1">
      <alignment horizontal="centerContinuous"/>
    </xf>
    <xf numFmtId="0" fontId="13" fillId="0" borderId="0" xfId="73" applyFont="1"/>
    <xf numFmtId="0" fontId="13" fillId="0" borderId="0" xfId="73" applyFont="1" applyAlignment="1">
      <alignment horizontal="center"/>
    </xf>
    <xf numFmtId="0" fontId="8" fillId="0" borderId="7" xfId="73" applyFont="1" applyFill="1" applyBorder="1"/>
    <xf numFmtId="0" fontId="13" fillId="0" borderId="0" xfId="73" quotePrefix="1" applyFont="1" applyAlignment="1">
      <alignment horizontal="left"/>
    </xf>
    <xf numFmtId="37" fontId="13" fillId="0" borderId="6" xfId="73" applyNumberFormat="1" applyFont="1" applyBorder="1"/>
    <xf numFmtId="0" fontId="13" fillId="0" borderId="0" xfId="73" quotePrefix="1" applyFont="1" applyFill="1"/>
    <xf numFmtId="3" fontId="13" fillId="0" borderId="0" xfId="72" applyNumberFormat="1" applyFont="1" applyFill="1"/>
    <xf numFmtId="0" fontId="13" fillId="0" borderId="0" xfId="39" applyFont="1" applyProtection="1">
      <protection locked="0"/>
    </xf>
    <xf numFmtId="0" fontId="13" fillId="0" borderId="6" xfId="39" applyFont="1" applyBorder="1" applyAlignment="1" applyProtection="1">
      <alignment horizontal="center"/>
      <protection locked="0"/>
    </xf>
    <xf numFmtId="0" fontId="8" fillId="0" borderId="6" xfId="39" applyFont="1" applyBorder="1" applyAlignment="1" applyProtection="1">
      <alignment horizontal="center"/>
      <protection locked="0"/>
    </xf>
    <xf numFmtId="0" fontId="8" fillId="0" borderId="9" xfId="39" applyFont="1" applyBorder="1" applyAlignment="1" applyProtection="1">
      <alignment horizontal="center"/>
      <protection locked="0"/>
    </xf>
    <xf numFmtId="0" fontId="13" fillId="0" borderId="0" xfId="39" quotePrefix="1" applyFont="1" applyAlignment="1" applyProtection="1">
      <alignment horizontal="left"/>
      <protection locked="0"/>
    </xf>
    <xf numFmtId="0" fontId="12" fillId="0" borderId="0" xfId="62" applyFont="1"/>
    <xf numFmtId="0" fontId="12" fillId="0" borderId="0" xfId="62" applyFont="1" applyAlignment="1">
      <alignment horizontal="left"/>
    </xf>
    <xf numFmtId="0" fontId="12" fillId="0" borderId="0" xfId="62" quotePrefix="1" applyFont="1" applyAlignment="1">
      <alignment horizontal="left"/>
    </xf>
    <xf numFmtId="0" fontId="12" fillId="0" borderId="0" xfId="62" applyFont="1" applyFill="1"/>
    <xf numFmtId="0" fontId="30" fillId="0" borderId="0" xfId="0" applyFont="1" applyAlignment="1">
      <alignment horizontal="center"/>
    </xf>
    <xf numFmtId="0" fontId="30" fillId="0" borderId="0" xfId="0" applyFont="1"/>
    <xf numFmtId="0" fontId="30" fillId="0" borderId="0" xfId="0" quotePrefix="1" applyFont="1" applyAlignment="1">
      <alignment horizontal="center"/>
    </xf>
    <xf numFmtId="0" fontId="31" fillId="0" borderId="11" xfId="0" applyFont="1" applyBorder="1" applyAlignment="1">
      <alignment horizontal="center"/>
    </xf>
    <xf numFmtId="0" fontId="29" fillId="0" borderId="12" xfId="0" applyFont="1" applyBorder="1"/>
    <xf numFmtId="0" fontId="13" fillId="0" borderId="0" xfId="53" applyFont="1" applyAlignment="1">
      <alignment vertical="top"/>
    </xf>
    <xf numFmtId="0" fontId="8" fillId="0" borderId="0" xfId="53" applyFont="1" applyAlignment="1">
      <alignment horizontal="center" vertical="top"/>
    </xf>
    <xf numFmtId="0" fontId="8" fillId="7" borderId="0" xfId="53" applyFont="1" applyFill="1" applyAlignment="1">
      <alignment vertical="top"/>
    </xf>
    <xf numFmtId="0" fontId="8" fillId="0" borderId="0" xfId="53" applyFont="1" applyFill="1" applyAlignment="1">
      <alignment horizontal="right" vertical="top"/>
    </xf>
    <xf numFmtId="37" fontId="13" fillId="0" borderId="0" xfId="53" applyNumberFormat="1" applyFont="1" applyAlignment="1">
      <alignment vertical="top"/>
    </xf>
    <xf numFmtId="37" fontId="8" fillId="7" borderId="0" xfId="53" applyNumberFormat="1" applyFont="1" applyFill="1" applyAlignment="1">
      <alignment vertical="top"/>
    </xf>
    <xf numFmtId="37" fontId="8" fillId="0" borderId="0" xfId="53" applyNumberFormat="1" applyFont="1" applyAlignment="1">
      <alignment vertical="top"/>
    </xf>
    <xf numFmtId="0" fontId="13" fillId="0" borderId="0" xfId="53" applyAlignment="1"/>
    <xf numFmtId="0" fontId="13" fillId="0" borderId="0" xfId="53" quotePrefix="1" applyAlignment="1">
      <alignment horizontal="center"/>
    </xf>
    <xf numFmtId="0" fontId="9" fillId="0" borderId="0" xfId="63"/>
    <xf numFmtId="0" fontId="29" fillId="0" borderId="6" xfId="53" applyFont="1" applyBorder="1" applyAlignment="1"/>
    <xf numFmtId="0" fontId="29" fillId="0" borderId="0" xfId="53" applyFont="1" applyAlignment="1">
      <alignment horizontal="center"/>
    </xf>
    <xf numFmtId="0" fontId="29" fillId="0" borderId="11" xfId="53" applyFont="1" applyBorder="1" applyAlignment="1">
      <alignment horizontal="center"/>
    </xf>
    <xf numFmtId="0" fontId="31" fillId="0" borderId="0" xfId="53" applyFont="1" applyAlignment="1">
      <alignment horizontal="center"/>
    </xf>
    <xf numFmtId="0" fontId="8" fillId="0" borderId="0" xfId="53" applyFont="1" applyAlignment="1"/>
    <xf numFmtId="164" fontId="13" fillId="0" borderId="0" xfId="53" applyNumberFormat="1" applyAlignment="1"/>
    <xf numFmtId="164" fontId="7" fillId="0" borderId="12" xfId="53" applyNumberFormat="1" applyFont="1" applyBorder="1" applyAlignment="1"/>
    <xf numFmtId="164" fontId="0" fillId="0" borderId="0" xfId="14" applyNumberFormat="1" applyFont="1"/>
    <xf numFmtId="164" fontId="13" fillId="0" borderId="12" xfId="53" applyNumberFormat="1" applyFont="1" applyBorder="1" applyAlignment="1"/>
    <xf numFmtId="0" fontId="8" fillId="0" borderId="0" xfId="53" quotePrefix="1" applyFont="1" applyAlignment="1">
      <alignment horizontal="left"/>
    </xf>
    <xf numFmtId="164" fontId="8" fillId="0" borderId="12" xfId="53" applyNumberFormat="1" applyFont="1" applyBorder="1" applyAlignment="1"/>
    <xf numFmtId="164" fontId="13" fillId="0" borderId="10" xfId="53" applyNumberFormat="1" applyBorder="1" applyAlignment="1"/>
    <xf numFmtId="164" fontId="13" fillId="0" borderId="13" xfId="53" applyNumberFormat="1" applyBorder="1" applyAlignment="1"/>
    <xf numFmtId="164" fontId="0" fillId="0" borderId="10" xfId="14" applyNumberFormat="1" applyFont="1" applyBorder="1"/>
    <xf numFmtId="43" fontId="0" fillId="0" borderId="0" xfId="14" applyFont="1"/>
    <xf numFmtId="0" fontId="13" fillId="0" borderId="0" xfId="53" quotePrefix="1" applyAlignment="1">
      <alignment horizontal="left"/>
    </xf>
    <xf numFmtId="0" fontId="12" fillId="0" borderId="0" xfId="68" applyFont="1" applyFill="1"/>
    <xf numFmtId="164" fontId="12" fillId="0" borderId="0" xfId="16" applyNumberFormat="1" applyFont="1" applyFill="1"/>
    <xf numFmtId="164" fontId="34" fillId="0" borderId="0" xfId="16" applyNumberFormat="1" applyFont="1" applyFill="1"/>
    <xf numFmtId="173" fontId="12" fillId="0" borderId="0" xfId="16" applyNumberFormat="1" applyFont="1" applyFill="1"/>
    <xf numFmtId="164" fontId="12" fillId="0" borderId="0" xfId="68" applyNumberFormat="1" applyFont="1" applyFill="1"/>
    <xf numFmtId="164" fontId="33" fillId="0" borderId="14" xfId="68" applyNumberFormat="1" applyFont="1" applyFill="1" applyBorder="1"/>
    <xf numFmtId="0" fontId="8" fillId="0" borderId="0" xfId="71" applyFont="1" applyAlignment="1">
      <alignment horizontal="centerContinuous"/>
    </xf>
    <xf numFmtId="0" fontId="13" fillId="0" borderId="0" xfId="71" applyFont="1" applyAlignment="1">
      <alignment horizontal="centerContinuous"/>
    </xf>
    <xf numFmtId="40" fontId="13" fillId="0" borderId="0" xfId="71" applyNumberFormat="1" applyFont="1" applyAlignment="1">
      <alignment horizontal="centerContinuous"/>
    </xf>
    <xf numFmtId="0" fontId="13" fillId="0" borderId="0" xfId="71" applyFont="1"/>
    <xf numFmtId="0" fontId="35" fillId="0" borderId="0" xfId="71" applyFont="1" applyAlignment="1">
      <alignment horizontal="center"/>
    </xf>
    <xf numFmtId="0" fontId="13" fillId="0" borderId="0" xfId="71" applyFont="1" applyAlignment="1" applyProtection="1">
      <alignment horizontal="left"/>
    </xf>
    <xf numFmtId="10" fontId="13" fillId="0" borderId="0" xfId="71" applyNumberFormat="1" applyFont="1"/>
    <xf numFmtId="10" fontId="13" fillId="0" borderId="0" xfId="71" applyNumberFormat="1" applyFont="1" applyAlignment="1" applyProtection="1"/>
    <xf numFmtId="37" fontId="13" fillId="0" borderId="0" xfId="71" applyNumberFormat="1" applyFont="1" applyProtection="1"/>
    <xf numFmtId="37" fontId="13" fillId="0" borderId="0" xfId="71" applyNumberFormat="1" applyFont="1" applyAlignment="1" applyProtection="1">
      <alignment horizontal="left"/>
    </xf>
    <xf numFmtId="0" fontId="13" fillId="0" borderId="0" xfId="71" quotePrefix="1" applyFont="1" applyAlignment="1">
      <alignment horizontal="left"/>
    </xf>
    <xf numFmtId="0" fontId="12" fillId="0" borderId="0" xfId="57" applyFont="1"/>
    <xf numFmtId="41" fontId="12" fillId="0" borderId="0" xfId="57" applyNumberFormat="1" applyFont="1"/>
    <xf numFmtId="0" fontId="12" fillId="0" borderId="7" xfId="57" applyFont="1" applyBorder="1"/>
    <xf numFmtId="41" fontId="12" fillId="0" borderId="0" xfId="10" applyFont="1"/>
    <xf numFmtId="41" fontId="12" fillId="0" borderId="10" xfId="10" applyFont="1" applyBorder="1"/>
    <xf numFmtId="10" fontId="12" fillId="0" borderId="0" xfId="79" applyNumberFormat="1" applyFont="1"/>
    <xf numFmtId="41" fontId="12" fillId="0" borderId="0" xfId="10" applyFont="1" applyBorder="1"/>
    <xf numFmtId="41" fontId="12" fillId="0" borderId="2" xfId="10" applyFont="1" applyBorder="1"/>
    <xf numFmtId="41" fontId="12" fillId="0" borderId="8" xfId="10" applyFont="1" applyBorder="1"/>
    <xf numFmtId="37" fontId="13" fillId="0" borderId="0" xfId="14" applyNumberFormat="1" applyFont="1" applyBorder="1" applyProtection="1">
      <protection locked="0"/>
    </xf>
    <xf numFmtId="37" fontId="13" fillId="0" borderId="0" xfId="14" applyNumberFormat="1" applyFont="1" applyProtection="1">
      <protection locked="0"/>
    </xf>
    <xf numFmtId="37" fontId="13" fillId="0" borderId="12" xfId="14" applyNumberFormat="1" applyFont="1" applyBorder="1" applyProtection="1">
      <protection locked="0"/>
    </xf>
    <xf numFmtId="37" fontId="8" fillId="0" borderId="12" xfId="14" applyNumberFormat="1" applyFont="1" applyBorder="1" applyProtection="1">
      <protection locked="0"/>
    </xf>
    <xf numFmtId="37" fontId="13" fillId="0" borderId="10" xfId="14" applyNumberFormat="1" applyFont="1" applyBorder="1" applyProtection="1">
      <protection locked="0"/>
    </xf>
    <xf numFmtId="37" fontId="13" fillId="0" borderId="13" xfId="14" applyNumberFormat="1" applyFont="1" applyBorder="1" applyProtection="1">
      <protection locked="0"/>
    </xf>
    <xf numFmtId="37" fontId="0" fillId="0" borderId="0" xfId="0" applyNumberFormat="1"/>
    <xf numFmtId="37" fontId="29" fillId="0" borderId="12" xfId="0" applyNumberFormat="1" applyFont="1" applyBorder="1"/>
    <xf numFmtId="37" fontId="0" fillId="0" borderId="10" xfId="0" applyNumberFormat="1" applyBorder="1"/>
    <xf numFmtId="37" fontId="29" fillId="0" borderId="13" xfId="0" applyNumberFormat="1" applyFont="1" applyBorder="1"/>
    <xf numFmtId="0" fontId="13" fillId="0" borderId="0" xfId="56"/>
    <xf numFmtId="0" fontId="8" fillId="0" borderId="0" xfId="56" applyFont="1"/>
    <xf numFmtId="17" fontId="8" fillId="0" borderId="0" xfId="73" applyNumberFormat="1" applyFont="1" applyAlignment="1">
      <alignment horizontal="center"/>
    </xf>
    <xf numFmtId="43" fontId="0" fillId="0" borderId="0" xfId="13" applyFont="1" applyBorder="1" applyAlignment="1">
      <alignment horizontal="center"/>
    </xf>
    <xf numFmtId="0" fontId="13" fillId="0" borderId="0" xfId="56" applyAlignment="1">
      <alignment horizontal="left" indent="1"/>
    </xf>
    <xf numFmtId="37" fontId="0" fillId="0" borderId="0" xfId="13" applyNumberFormat="1" applyFont="1"/>
    <xf numFmtId="37" fontId="0" fillId="0" borderId="0" xfId="13" applyNumberFormat="1" applyFont="1" applyBorder="1"/>
    <xf numFmtId="43" fontId="13" fillId="0" borderId="0" xfId="56" applyNumberFormat="1"/>
    <xf numFmtId="37" fontId="0" fillId="0" borderId="0" xfId="13" applyNumberFormat="1" applyFont="1" applyBorder="1" applyAlignment="1">
      <alignment horizontal="center"/>
    </xf>
    <xf numFmtId="43" fontId="0" fillId="0" borderId="0" xfId="13" applyFont="1"/>
    <xf numFmtId="0" fontId="8" fillId="0" borderId="0" xfId="56" quotePrefix="1" applyFont="1" applyAlignment="1">
      <alignment horizontal="left"/>
    </xf>
    <xf numFmtId="37" fontId="0" fillId="0" borderId="0" xfId="13" quotePrefix="1" applyNumberFormat="1" applyFont="1" applyAlignment="1">
      <alignment horizontal="center"/>
    </xf>
    <xf numFmtId="37" fontId="13" fillId="0" borderId="0" xfId="56" applyNumberFormat="1"/>
    <xf numFmtId="37" fontId="13" fillId="0" borderId="0" xfId="39" applyNumberFormat="1" applyFont="1"/>
    <xf numFmtId="37" fontId="13" fillId="0" borderId="2" xfId="73" applyNumberFormat="1" applyFont="1" applyFill="1" applyBorder="1"/>
    <xf numFmtId="0" fontId="40" fillId="0" borderId="0" xfId="44"/>
    <xf numFmtId="164" fontId="40" fillId="0" borderId="0" xfId="44" applyNumberFormat="1"/>
    <xf numFmtId="164" fontId="40" fillId="0" borderId="0" xfId="44" applyNumberFormat="1" applyFill="1"/>
    <xf numFmtId="164" fontId="40" fillId="0" borderId="10" xfId="44" applyNumberFormat="1" applyBorder="1"/>
    <xf numFmtId="0" fontId="37" fillId="0" borderId="0" xfId="45" applyFont="1"/>
    <xf numFmtId="0" fontId="37" fillId="0" borderId="6" xfId="45" applyFont="1" applyBorder="1"/>
    <xf numFmtId="0" fontId="37" fillId="0" borderId="6" xfId="45" quotePrefix="1" applyFont="1" applyFill="1" applyBorder="1" applyAlignment="1">
      <alignment horizontal="center"/>
    </xf>
    <xf numFmtId="0" fontId="0" fillId="0" borderId="0" xfId="0" quotePrefix="1" applyAlignment="1">
      <alignment horizontal="left"/>
    </xf>
    <xf numFmtId="0" fontId="13" fillId="0" borderId="0" xfId="47"/>
    <xf numFmtId="0" fontId="8" fillId="0" borderId="0" xfId="47" applyFont="1" applyAlignment="1">
      <alignment horizontal="center"/>
    </xf>
    <xf numFmtId="0" fontId="12" fillId="0" borderId="0" xfId="60"/>
    <xf numFmtId="0" fontId="5" fillId="0" borderId="0" xfId="0" applyFont="1"/>
    <xf numFmtId="0" fontId="45" fillId="0" borderId="0" xfId="0" applyFont="1" applyAlignment="1" applyProtection="1">
      <alignment horizontal="left"/>
      <protection locked="0"/>
    </xf>
    <xf numFmtId="0" fontId="46" fillId="0" borderId="0" xfId="0" applyFont="1" applyAlignment="1" applyProtection="1">
      <alignment horizontal="left"/>
      <protection locked="0"/>
    </xf>
    <xf numFmtId="0" fontId="43" fillId="0" borderId="0" xfId="0" applyFont="1" applyAlignment="1">
      <alignment horizontal="center"/>
    </xf>
    <xf numFmtId="0" fontId="43" fillId="0" borderId="0" xfId="0" applyFont="1"/>
    <xf numFmtId="0" fontId="47" fillId="0" borderId="0" xfId="0" applyFont="1" applyAlignment="1">
      <alignment horizontal="left"/>
    </xf>
    <xf numFmtId="0" fontId="4" fillId="0" borderId="0" xfId="0" applyFont="1"/>
    <xf numFmtId="43" fontId="4" fillId="0" borderId="0" xfId="93" applyFont="1"/>
    <xf numFmtId="175" fontId="42" fillId="0" borderId="0" xfId="96" applyFont="1" applyFill="1" applyAlignment="1"/>
    <xf numFmtId="175" fontId="47" fillId="0" borderId="0" xfId="96" applyFont="1" applyFill="1" applyAlignment="1">
      <alignment horizontal="left"/>
    </xf>
    <xf numFmtId="175" fontId="50" fillId="0" borderId="0" xfId="96" quotePrefix="1" applyFont="1" applyFill="1" applyAlignment="1">
      <alignment horizontal="right"/>
    </xf>
    <xf numFmtId="175" fontId="47" fillId="0" borderId="6" xfId="96" applyFont="1" applyFill="1" applyBorder="1" applyAlignment="1"/>
    <xf numFmtId="175" fontId="47" fillId="0" borderId="6" xfId="96" quotePrefix="1" applyFont="1" applyFill="1" applyBorder="1" applyAlignment="1">
      <alignment horizontal="left"/>
    </xf>
    <xf numFmtId="175" fontId="47" fillId="0" borderId="6" xfId="96" applyFont="1" applyFill="1" applyBorder="1" applyAlignment="1">
      <alignment horizontal="center"/>
    </xf>
    <xf numFmtId="175" fontId="47" fillId="0" borderId="6" xfId="96" quotePrefix="1" applyFont="1" applyFill="1" applyBorder="1" applyAlignment="1">
      <alignment horizontal="center" wrapText="1"/>
    </xf>
    <xf numFmtId="0" fontId="13" fillId="0" borderId="0" xfId="96" applyNumberFormat="1" applyFont="1" applyFill="1"/>
    <xf numFmtId="175" fontId="42" fillId="0" borderId="0" xfId="96" applyFont="1" applyFill="1" applyAlignment="1">
      <alignment horizontal="center"/>
    </xf>
    <xf numFmtId="175" fontId="47" fillId="0" borderId="0" xfId="96" quotePrefix="1" applyFont="1" applyFill="1" applyAlignment="1">
      <alignment horizontal="left"/>
    </xf>
    <xf numFmtId="175" fontId="42" fillId="0" borderId="0" xfId="96" applyFont="1" applyFill="1" applyAlignment="1">
      <alignment horizontal="left" indent="1"/>
    </xf>
    <xf numFmtId="37" fontId="42" fillId="0" borderId="0" xfId="96" applyNumberFormat="1" applyFont="1" applyFill="1" applyAlignment="1"/>
    <xf numFmtId="175" fontId="42" fillId="0" borderId="0" xfId="96" quotePrefix="1" applyFont="1" applyFill="1" applyAlignment="1">
      <alignment horizontal="left" indent="1"/>
    </xf>
    <xf numFmtId="37" fontId="47" fillId="0" borderId="0" xfId="96" applyNumberFormat="1" applyFont="1" applyFill="1" applyAlignment="1">
      <alignment horizontal="left"/>
    </xf>
    <xf numFmtId="37" fontId="42" fillId="0" borderId="0" xfId="96" applyNumberFormat="1" applyFont="1" applyFill="1" applyBorder="1" applyAlignment="1"/>
    <xf numFmtId="37" fontId="42" fillId="0" borderId="6" xfId="96" applyNumberFormat="1" applyFont="1" applyFill="1" applyBorder="1" applyAlignment="1"/>
    <xf numFmtId="175" fontId="42" fillId="0" borderId="0" xfId="96" quotePrefix="1" applyFont="1" applyFill="1" applyAlignment="1">
      <alignment horizontal="left"/>
    </xf>
    <xf numFmtId="175" fontId="42" fillId="0" borderId="0" xfId="96" applyFont="1" applyFill="1" applyAlignment="1">
      <alignment horizontal="left" indent="2"/>
    </xf>
    <xf numFmtId="175" fontId="42" fillId="0" borderId="0" xfId="96" applyFont="1" applyFill="1" applyAlignment="1">
      <alignment horizontal="left"/>
    </xf>
    <xf numFmtId="175" fontId="51" fillId="0" borderId="0" xfId="96" quotePrefix="1" applyFont="1" applyFill="1" applyAlignment="1">
      <alignment horizontal="left"/>
    </xf>
    <xf numFmtId="176" fontId="47" fillId="0" borderId="0" xfId="96" quotePrefix="1" applyNumberFormat="1" applyFont="1" applyFill="1" applyAlignment="1">
      <alignment horizontal="left"/>
    </xf>
    <xf numFmtId="175" fontId="51" fillId="0" borderId="0" xfId="96" quotePrefix="1" applyFont="1" applyFill="1" applyAlignment="1">
      <alignment horizontal="left" wrapText="1"/>
    </xf>
    <xf numFmtId="175" fontId="42" fillId="0" borderId="0" xfId="96" quotePrefix="1" applyFont="1" applyFill="1" applyAlignment="1">
      <alignment horizontal="left" indent="2"/>
    </xf>
    <xf numFmtId="175" fontId="47" fillId="0" borderId="0" xfId="96" applyFont="1" applyFill="1" applyAlignment="1"/>
    <xf numFmtId="37" fontId="42" fillId="0" borderId="0" xfId="96" quotePrefix="1" applyNumberFormat="1" applyFont="1" applyFill="1" applyAlignment="1">
      <alignment horizontal="left"/>
    </xf>
    <xf numFmtId="0" fontId="47" fillId="0" borderId="0" xfId="96" quotePrefix="1" applyNumberFormat="1" applyFont="1" applyFill="1" applyAlignment="1">
      <alignment horizontal="left"/>
    </xf>
    <xf numFmtId="175" fontId="42" fillId="0" borderId="0" xfId="96" quotePrefix="1" applyFont="1" applyFill="1" applyAlignment="1">
      <alignment horizontal="left" indent="3"/>
    </xf>
    <xf numFmtId="175" fontId="42" fillId="0" borderId="0" xfId="96" applyFont="1" applyFill="1" applyAlignment="1">
      <alignment horizontal="left" indent="3"/>
    </xf>
    <xf numFmtId="175" fontId="47" fillId="0" borderId="0" xfId="96" quotePrefix="1" applyFont="1" applyFill="1" applyAlignment="1">
      <alignment horizontal="left" wrapText="1"/>
    </xf>
    <xf numFmtId="175" fontId="47" fillId="0" borderId="0" xfId="96" applyFont="1" applyFill="1" applyAlignment="1">
      <alignment horizontal="left" wrapText="1"/>
    </xf>
    <xf numFmtId="0" fontId="8" fillId="0" borderId="0" xfId="96" applyNumberFormat="1" applyFont="1" applyFill="1"/>
    <xf numFmtId="0" fontId="8" fillId="0" borderId="0" xfId="53" quotePrefix="1" applyFont="1" applyAlignment="1">
      <alignment horizontal="center" vertical="top"/>
    </xf>
    <xf numFmtId="0" fontId="37" fillId="0" borderId="0" xfId="45" applyFont="1" applyBorder="1" applyAlignment="1"/>
    <xf numFmtId="164" fontId="40" fillId="0" borderId="0" xfId="44" applyNumberFormat="1" applyBorder="1"/>
    <xf numFmtId="164" fontId="40" fillId="0" borderId="19" xfId="44" applyNumberFormat="1" applyBorder="1"/>
    <xf numFmtId="164" fontId="40" fillId="0" borderId="19" xfId="44" applyNumberFormat="1" applyFill="1" applyBorder="1"/>
    <xf numFmtId="0" fontId="0" fillId="0" borderId="0" xfId="0" applyAlignment="1">
      <alignment horizontal="left"/>
    </xf>
    <xf numFmtId="0" fontId="12" fillId="0" borderId="0" xfId="59"/>
    <xf numFmtId="0" fontId="8" fillId="0" borderId="0" xfId="40" applyFont="1" applyFill="1" applyAlignment="1"/>
    <xf numFmtId="174" fontId="12" fillId="0" borderId="0" xfId="59" applyNumberFormat="1"/>
    <xf numFmtId="44" fontId="33" fillId="0" borderId="0" xfId="59" applyNumberFormat="1" applyFont="1"/>
    <xf numFmtId="177" fontId="12" fillId="0" borderId="0" xfId="59" applyNumberFormat="1" applyFont="1"/>
    <xf numFmtId="44" fontId="12" fillId="0" borderId="0" xfId="59" applyNumberFormat="1" applyFont="1"/>
    <xf numFmtId="164" fontId="0" fillId="0" borderId="0" xfId="92" applyNumberFormat="1" applyFont="1"/>
    <xf numFmtId="17" fontId="13" fillId="0" borderId="0" xfId="73" applyNumberFormat="1" applyFont="1" applyFill="1" applyAlignment="1">
      <alignment horizontal="center"/>
    </xf>
    <xf numFmtId="37" fontId="6" fillId="0" borderId="0" xfId="13" applyNumberFormat="1" applyFont="1"/>
    <xf numFmtId="0" fontId="47" fillId="0" borderId="0" xfId="0" applyFont="1" applyFill="1" applyAlignment="1">
      <alignment horizontal="left"/>
    </xf>
    <xf numFmtId="0" fontId="13" fillId="0" borderId="0" xfId="53" quotePrefix="1" applyFont="1" applyAlignment="1">
      <alignment horizontal="right" vertical="top"/>
    </xf>
    <xf numFmtId="43" fontId="4" fillId="0" borderId="0" xfId="93" applyFont="1" applyFill="1"/>
    <xf numFmtId="43" fontId="4" fillId="0" borderId="0" xfId="93" quotePrefix="1" applyFont="1" applyAlignment="1">
      <alignment horizontal="center"/>
    </xf>
    <xf numFmtId="43" fontId="4" fillId="0" borderId="0" xfId="93" quotePrefix="1" applyFont="1" applyFill="1" applyAlignment="1">
      <alignment horizontal="center"/>
    </xf>
    <xf numFmtId="43" fontId="43" fillId="0" borderId="0" xfId="93" applyFont="1" applyAlignment="1">
      <alignment horizontal="center"/>
    </xf>
    <xf numFmtId="43" fontId="43" fillId="0" borderId="0" xfId="93" quotePrefix="1" applyFont="1" applyFill="1" applyAlignment="1">
      <alignment horizontal="center"/>
    </xf>
    <xf numFmtId="43" fontId="43" fillId="0" borderId="0" xfId="93" quotePrefix="1" applyFont="1" applyAlignment="1">
      <alignment horizontal="center"/>
    </xf>
    <xf numFmtId="43" fontId="43" fillId="0" borderId="0" xfId="93" applyFont="1" applyFill="1" applyAlignment="1">
      <alignment horizontal="center"/>
    </xf>
    <xf numFmtId="43" fontId="0" fillId="0" borderId="0" xfId="0" applyNumberFormat="1"/>
    <xf numFmtId="164" fontId="4" fillId="0" borderId="0" xfId="92" applyNumberFormat="1" applyFont="1"/>
    <xf numFmtId="164" fontId="4" fillId="0" borderId="0" xfId="92" applyNumberFormat="1" applyFont="1" applyFill="1"/>
    <xf numFmtId="164" fontId="0" fillId="0" borderId="0" xfId="92" applyNumberFormat="1" applyFont="1" applyFill="1"/>
    <xf numFmtId="164" fontId="4" fillId="0" borderId="10" xfId="92" applyNumberFormat="1" applyFont="1" applyBorder="1"/>
    <xf numFmtId="164" fontId="4" fillId="0" borderId="10" xfId="92" applyNumberFormat="1" applyFont="1" applyFill="1" applyBorder="1"/>
    <xf numFmtId="164" fontId="4" fillId="0" borderId="0" xfId="93" applyNumberFormat="1" applyFont="1"/>
    <xf numFmtId="164" fontId="4" fillId="0" borderId="0" xfId="93" applyNumberFormat="1" applyFont="1" applyFill="1"/>
    <xf numFmtId="0" fontId="4" fillId="0" borderId="0" xfId="0" applyFont="1" applyAlignment="1">
      <alignment horizontal="left" indent="1"/>
    </xf>
    <xf numFmtId="164" fontId="4" fillId="0" borderId="0" xfId="0" applyNumberFormat="1" applyFont="1"/>
    <xf numFmtId="164" fontId="4" fillId="0" borderId="0" xfId="0" applyNumberFormat="1" applyFont="1" applyBorder="1"/>
    <xf numFmtId="164" fontId="4" fillId="0" borderId="0" xfId="93" applyNumberFormat="1" applyFont="1" applyBorder="1"/>
    <xf numFmtId="164" fontId="4" fillId="0" borderId="6" xfId="0" applyNumberFormat="1" applyFont="1" applyBorder="1"/>
    <xf numFmtId="164" fontId="4" fillId="0" borderId="0" xfId="0" applyNumberFormat="1" applyFont="1" applyFill="1"/>
    <xf numFmtId="0" fontId="0" fillId="0" borderId="0" xfId="0" applyFill="1"/>
    <xf numFmtId="43" fontId="0" fillId="0" borderId="0" xfId="0" applyNumberFormat="1" applyFill="1"/>
    <xf numFmtId="0" fontId="5" fillId="0" borderId="0" xfId="0" applyFont="1" applyFill="1"/>
    <xf numFmtId="0" fontId="0" fillId="0" borderId="0" xfId="0" applyFill="1" applyAlignment="1">
      <alignment horizontal="left"/>
    </xf>
    <xf numFmtId="0" fontId="3" fillId="0" borderId="0" xfId="0" applyFont="1"/>
    <xf numFmtId="0" fontId="92" fillId="0" borderId="0" xfId="0" applyFont="1" applyAlignment="1">
      <alignment horizontal="center"/>
    </xf>
    <xf numFmtId="0" fontId="92" fillId="0" borderId="16" xfId="0" applyFont="1" applyBorder="1" applyAlignment="1">
      <alignment horizontal="center"/>
    </xf>
    <xf numFmtId="0" fontId="92" fillId="0" borderId="0" xfId="0" applyFont="1"/>
    <xf numFmtId="0" fontId="2" fillId="0" borderId="0" xfId="0" applyFont="1"/>
    <xf numFmtId="178" fontId="2" fillId="0" borderId="0" xfId="0" applyNumberFormat="1" applyFont="1"/>
    <xf numFmtId="178" fontId="2" fillId="0" borderId="16" xfId="0" applyNumberFormat="1" applyFont="1" applyBorder="1"/>
    <xf numFmtId="164" fontId="2" fillId="0" borderId="0" xfId="13" applyNumberFormat="1" applyFont="1"/>
    <xf numFmtId="164" fontId="2" fillId="0" borderId="16" xfId="13" applyNumberFormat="1" applyFont="1" applyBorder="1"/>
    <xf numFmtId="164" fontId="2" fillId="0" borderId="0" xfId="0" applyNumberFormat="1" applyFont="1"/>
    <xf numFmtId="164" fontId="2" fillId="0" borderId="6" xfId="0" applyNumberFormat="1" applyFont="1" applyBorder="1"/>
    <xf numFmtId="0" fontId="2" fillId="0" borderId="18" xfId="0" applyFont="1" applyBorder="1"/>
    <xf numFmtId="164" fontId="2" fillId="0" borderId="6" xfId="13" applyNumberFormat="1" applyFont="1" applyBorder="1"/>
    <xf numFmtId="37" fontId="42" fillId="13" borderId="6" xfId="96" applyNumberFormat="1" applyFont="1" applyFill="1" applyBorder="1" applyAlignment="1"/>
    <xf numFmtId="37" fontId="42" fillId="13" borderId="0" xfId="96" applyNumberFormat="1" applyFont="1" applyFill="1" applyBorder="1" applyAlignment="1"/>
    <xf numFmtId="37" fontId="42" fillId="13" borderId="0" xfId="96" applyNumberFormat="1" applyFont="1" applyFill="1" applyAlignment="1"/>
    <xf numFmtId="9" fontId="42" fillId="0" borderId="0" xfId="279" applyFont="1" applyFill="1" applyAlignment="1"/>
    <xf numFmtId="0" fontId="8" fillId="0" borderId="0" xfId="72" applyFont="1" applyFill="1" applyAlignment="1">
      <alignment horizontal="center" textRotation="90"/>
    </xf>
    <xf numFmtId="3" fontId="8" fillId="0" borderId="0" xfId="72" applyNumberFormat="1" applyFont="1" applyFill="1" applyAlignment="1">
      <alignment horizontal="center" textRotation="90"/>
    </xf>
    <xf numFmtId="3" fontId="8" fillId="0" borderId="0" xfId="72" applyNumberFormat="1" applyFont="1" applyAlignment="1">
      <alignment horizontal="center" vertical="center" wrapText="1"/>
    </xf>
    <xf numFmtId="3" fontId="8" fillId="0" borderId="0" xfId="72" applyNumberFormat="1" applyFont="1" applyAlignment="1">
      <alignment horizontal="center" vertical="center"/>
    </xf>
    <xf numFmtId="0" fontId="8" fillId="0" borderId="0" xfId="72" applyFont="1" applyAlignment="1">
      <alignment horizontal="right"/>
    </xf>
    <xf numFmtId="3" fontId="13" fillId="0" borderId="6" xfId="72" applyNumberFormat="1" applyFont="1" applyFill="1" applyBorder="1"/>
    <xf numFmtId="0" fontId="12" fillId="0" borderId="0" xfId="59" applyFont="1"/>
    <xf numFmtId="0" fontId="33" fillId="0" borderId="6" xfId="59" applyFont="1" applyBorder="1" applyAlignment="1">
      <alignment horizontal="center" wrapText="1"/>
    </xf>
    <xf numFmtId="0" fontId="33" fillId="0" borderId="0" xfId="59" applyFont="1" applyBorder="1" applyAlignment="1">
      <alignment horizontal="center" wrapText="1"/>
    </xf>
    <xf numFmtId="14" fontId="33" fillId="0" borderId="6" xfId="59" applyNumberFormat="1" applyFont="1" applyBorder="1" applyAlignment="1">
      <alignment horizontal="center"/>
    </xf>
    <xf numFmtId="0" fontId="33" fillId="0" borderId="6" xfId="59" applyFont="1" applyBorder="1" applyAlignment="1">
      <alignment horizontal="center"/>
    </xf>
    <xf numFmtId="0" fontId="33" fillId="0" borderId="0" xfId="57" applyFont="1"/>
    <xf numFmtId="14" fontId="33" fillId="0" borderId="0" xfId="57" applyNumberFormat="1" applyFont="1" applyAlignment="1">
      <alignment horizontal="center"/>
    </xf>
    <xf numFmtId="0" fontId="33" fillId="0" borderId="0" xfId="57" applyFont="1" applyAlignment="1">
      <alignment horizontal="center"/>
    </xf>
    <xf numFmtId="0" fontId="33" fillId="0" borderId="0" xfId="57" applyFont="1" applyAlignment="1">
      <alignment horizontal="center" wrapText="1"/>
    </xf>
    <xf numFmtId="14" fontId="94" fillId="0" borderId="0" xfId="57" applyNumberFormat="1" applyFont="1" applyAlignment="1">
      <alignment horizontal="center"/>
    </xf>
    <xf numFmtId="0" fontId="94" fillId="0" borderId="0" xfId="57" applyFont="1" applyAlignment="1">
      <alignment horizontal="center"/>
    </xf>
    <xf numFmtId="0" fontId="33" fillId="0" borderId="0" xfId="0" applyFont="1" applyAlignment="1"/>
    <xf numFmtId="37" fontId="13" fillId="0" borderId="10" xfId="73" applyNumberFormat="1" applyFont="1" applyBorder="1"/>
    <xf numFmtId="164" fontId="33" fillId="0" borderId="10" xfId="62" applyNumberFormat="1" applyFont="1" applyFill="1" applyBorder="1"/>
    <xf numFmtId="0" fontId="33" fillId="0" borderId="0" xfId="53" applyFont="1" applyAlignment="1">
      <alignment horizontal="center"/>
    </xf>
    <xf numFmtId="0" fontId="13" fillId="0" borderId="0" xfId="53" applyFont="1">
      <alignment vertical="top"/>
    </xf>
    <xf numFmtId="37" fontId="12" fillId="0" borderId="0" xfId="53" applyNumberFormat="1" applyFont="1" applyAlignment="1">
      <alignment horizontal="center"/>
    </xf>
    <xf numFmtId="37" fontId="12" fillId="0" borderId="6" xfId="53" applyNumberFormat="1" applyFont="1" applyBorder="1" applyAlignment="1">
      <alignment horizontal="center"/>
    </xf>
    <xf numFmtId="0" fontId="33" fillId="0" borderId="0" xfId="53" applyFont="1" applyAlignment="1"/>
    <xf numFmtId="0" fontId="33" fillId="0" borderId="6" xfId="53" quotePrefix="1" applyFont="1" applyBorder="1" applyAlignment="1">
      <alignment horizontal="center" wrapText="1"/>
    </xf>
    <xf numFmtId="0" fontId="33" fillId="0" borderId="6" xfId="53" quotePrefix="1" applyFont="1" applyBorder="1" applyAlignment="1">
      <alignment horizontal="center"/>
    </xf>
    <xf numFmtId="37" fontId="33" fillId="0" borderId="0" xfId="53" applyNumberFormat="1" applyFont="1" applyAlignment="1">
      <alignment horizontal="center"/>
    </xf>
    <xf numFmtId="234" fontId="12" fillId="0" borderId="0" xfId="68" applyNumberFormat="1" applyFont="1" applyFill="1"/>
    <xf numFmtId="43" fontId="95" fillId="0" borderId="0" xfId="16" applyFont="1" applyFill="1" applyAlignment="1">
      <alignment horizontal="center"/>
    </xf>
    <xf numFmtId="164" fontId="43" fillId="0" borderId="0" xfId="0" applyNumberFormat="1" applyFont="1"/>
    <xf numFmtId="164" fontId="93" fillId="0" borderId="0" xfId="92" applyNumberFormat="1" applyFont="1"/>
    <xf numFmtId="37" fontId="8" fillId="0" borderId="2" xfId="73" applyNumberFormat="1" applyFont="1" applyFill="1" applyBorder="1"/>
    <xf numFmtId="164" fontId="42" fillId="0" borderId="0" xfId="92" applyNumberFormat="1" applyFont="1" applyFill="1" applyAlignment="1"/>
    <xf numFmtId="164" fontId="43" fillId="0" borderId="6" xfId="0" applyNumberFormat="1" applyFont="1" applyBorder="1"/>
    <xf numFmtId="37" fontId="12" fillId="0" borderId="10" xfId="53" applyNumberFormat="1" applyFont="1" applyBorder="1" applyAlignment="1">
      <alignment horizontal="center"/>
    </xf>
    <xf numFmtId="43" fontId="12" fillId="0" borderId="0" xfId="57" applyNumberFormat="1" applyFont="1"/>
    <xf numFmtId="41" fontId="33" fillId="0" borderId="2" xfId="10" applyFont="1" applyBorder="1"/>
    <xf numFmtId="0" fontId="12" fillId="0" borderId="0" xfId="280" applyFont="1"/>
    <xf numFmtId="3" fontId="8" fillId="0" borderId="0" xfId="72" quotePrefix="1" applyNumberFormat="1" applyFont="1" applyFill="1" applyAlignment="1">
      <alignment horizontal="center"/>
    </xf>
    <xf numFmtId="0" fontId="28" fillId="0" borderId="0" xfId="281" applyFont="1"/>
    <xf numFmtId="0" fontId="96" fillId="0" borderId="0" xfId="281"/>
    <xf numFmtId="3" fontId="97" fillId="0" borderId="0" xfId="72" quotePrefix="1" applyNumberFormat="1" applyFont="1" applyFill="1" applyAlignment="1"/>
    <xf numFmtId="0" fontId="8" fillId="0" borderId="0" xfId="281" applyFont="1" applyAlignment="1">
      <alignment horizontal="center" textRotation="90" wrapText="1"/>
    </xf>
    <xf numFmtId="0" fontId="8" fillId="0" borderId="0" xfId="281" applyFont="1" applyFill="1" applyAlignment="1">
      <alignment horizontal="center" textRotation="90"/>
    </xf>
    <xf numFmtId="0" fontId="8" fillId="0" borderId="0" xfId="281" quotePrefix="1" applyFont="1" applyFill="1" applyAlignment="1">
      <alignment horizontal="center" textRotation="90" wrapText="1"/>
    </xf>
    <xf numFmtId="0" fontId="8" fillId="0" borderId="0" xfId="281" quotePrefix="1" applyFont="1" applyFill="1" applyAlignment="1">
      <alignment horizontal="center" textRotation="90"/>
    </xf>
    <xf numFmtId="0" fontId="97" fillId="0" borderId="0" xfId="281" applyFont="1"/>
    <xf numFmtId="0" fontId="8" fillId="0" borderId="0" xfId="281" applyFont="1"/>
    <xf numFmtId="0" fontId="8" fillId="0" borderId="0" xfId="281" applyFont="1" applyAlignment="1">
      <alignment horizontal="center" wrapText="1"/>
    </xf>
    <xf numFmtId="3" fontId="96" fillId="0" borderId="0" xfId="281" applyNumberFormat="1"/>
    <xf numFmtId="3" fontId="28" fillId="0" borderId="0" xfId="281" applyNumberFormat="1" applyFont="1"/>
    <xf numFmtId="3" fontId="96" fillId="0" borderId="6" xfId="281" applyNumberFormat="1" applyBorder="1"/>
    <xf numFmtId="3" fontId="96" fillId="0" borderId="0" xfId="281" applyNumberFormat="1" applyBorder="1"/>
    <xf numFmtId="0" fontId="8" fillId="0" borderId="0" xfId="281" applyFont="1" applyAlignment="1">
      <alignment horizontal="right"/>
    </xf>
    <xf numFmtId="3" fontId="96" fillId="0" borderId="8" xfId="281" applyNumberFormat="1" applyBorder="1"/>
    <xf numFmtId="37" fontId="96" fillId="0" borderId="0" xfId="281" applyNumberFormat="1" applyBorder="1"/>
    <xf numFmtId="37" fontId="8" fillId="0" borderId="14" xfId="281" applyNumberFormat="1" applyFont="1" applyBorder="1"/>
    <xf numFmtId="37" fontId="13" fillId="0" borderId="0" xfId="281" applyNumberFormat="1" applyFont="1" applyBorder="1"/>
    <xf numFmtId="37" fontId="28" fillId="0" borderId="0" xfId="281" applyNumberFormat="1" applyFont="1"/>
    <xf numFmtId="0" fontId="8" fillId="0" borderId="0" xfId="56" applyFont="1" applyAlignment="1"/>
    <xf numFmtId="37" fontId="91" fillId="0" borderId="0" xfId="13" quotePrefix="1" applyNumberFormat="1" applyFont="1" applyAlignment="1">
      <alignment horizontal="center"/>
    </xf>
    <xf numFmtId="37" fontId="6" fillId="0" borderId="0" xfId="13" applyNumberFormat="1" applyFont="1" applyBorder="1"/>
    <xf numFmtId="37" fontId="39" fillId="0" borderId="0" xfId="13" applyNumberFormat="1" applyFont="1"/>
    <xf numFmtId="37" fontId="93" fillId="0" borderId="6" xfId="13" applyNumberFormat="1" applyFont="1" applyBorder="1"/>
    <xf numFmtId="37" fontId="39" fillId="0" borderId="0" xfId="13" applyNumberFormat="1" applyFont="1" applyBorder="1"/>
    <xf numFmtId="0" fontId="33" fillId="0" borderId="0" xfId="68" applyFont="1" applyFill="1" applyAlignment="1"/>
    <xf numFmtId="0" fontId="33" fillId="0" borderId="6" xfId="68" applyFont="1" applyFill="1" applyBorder="1" applyAlignment="1">
      <alignment horizontal="center"/>
    </xf>
    <xf numFmtId="0" fontId="12" fillId="0" borderId="0" xfId="68" applyFont="1" applyFill="1" applyAlignment="1">
      <alignment horizontal="center"/>
    </xf>
    <xf numFmtId="40" fontId="33" fillId="0" borderId="0" xfId="62" quotePrefix="1" applyNumberFormat="1" applyFont="1" applyFill="1" applyBorder="1" applyAlignment="1">
      <alignment horizontal="left" vertical="top"/>
    </xf>
    <xf numFmtId="3" fontId="12" fillId="0" borderId="0" xfId="62" applyNumberFormat="1" applyFont="1"/>
    <xf numFmtId="0" fontId="12" fillId="0" borderId="0" xfId="59" applyAlignment="1">
      <alignment horizontal="center"/>
    </xf>
    <xf numFmtId="41" fontId="12" fillId="0" borderId="0" xfId="59" applyNumberFormat="1" applyFont="1"/>
    <xf numFmtId="41" fontId="12" fillId="0" borderId="6" xfId="59" applyNumberFormat="1" applyFont="1" applyBorder="1"/>
    <xf numFmtId="164" fontId="12" fillId="0" borderId="0" xfId="59" applyNumberFormat="1"/>
    <xf numFmtId="164" fontId="33" fillId="0" borderId="10" xfId="26" applyNumberFormat="1" applyFont="1" applyBorder="1"/>
    <xf numFmtId="0" fontId="12" fillId="0" borderId="0" xfId="59" applyFont="1" applyAlignment="1">
      <alignment horizontal="center"/>
    </xf>
    <xf numFmtId="0" fontId="13" fillId="0" borderId="0" xfId="47" applyFont="1"/>
    <xf numFmtId="37" fontId="13" fillId="0" borderId="0" xfId="47" applyNumberFormat="1" applyFont="1"/>
    <xf numFmtId="37" fontId="13" fillId="0" borderId="6" xfId="47" applyNumberFormat="1" applyFont="1" applyBorder="1"/>
    <xf numFmtId="10" fontId="2" fillId="0" borderId="0" xfId="80" applyNumberFormat="1" applyFont="1"/>
    <xf numFmtId="0" fontId="91" fillId="0" borderId="0" xfId="0" applyFont="1" applyAlignment="1">
      <alignment horizontal="left"/>
    </xf>
    <xf numFmtId="0" fontId="33" fillId="0" borderId="0" xfId="59" applyFont="1"/>
    <xf numFmtId="37" fontId="13" fillId="0" borderId="0" xfId="47" applyNumberFormat="1" applyFont="1" applyFill="1"/>
    <xf numFmtId="0" fontId="8" fillId="0" borderId="0" xfId="62" applyFont="1" applyFill="1" applyBorder="1" applyAlignment="1">
      <alignment horizontal="center" vertical="top"/>
    </xf>
    <xf numFmtId="0" fontId="33" fillId="0" borderId="0" xfId="280" applyFont="1" applyAlignment="1">
      <alignment horizontal="center"/>
    </xf>
    <xf numFmtId="41" fontId="13" fillId="0" borderId="0" xfId="94" applyNumberFormat="1" applyFont="1" applyAlignment="1">
      <alignment vertical="top"/>
    </xf>
    <xf numFmtId="41" fontId="13" fillId="0" borderId="15" xfId="94" applyNumberFormat="1" applyFont="1" applyBorder="1" applyAlignment="1">
      <alignment vertical="top"/>
    </xf>
    <xf numFmtId="41" fontId="13" fillId="0" borderId="18" xfId="94" applyNumberFormat="1" applyFont="1" applyBorder="1" applyAlignment="1">
      <alignment horizontal="center" vertical="top"/>
    </xf>
    <xf numFmtId="41" fontId="13" fillId="0" borderId="24" xfId="94" applyNumberFormat="1" applyFont="1" applyBorder="1" applyAlignment="1">
      <alignment horizontal="center" vertical="top"/>
    </xf>
    <xf numFmtId="41" fontId="13" fillId="0" borderId="6" xfId="94" applyNumberFormat="1" applyFont="1" applyBorder="1" applyAlignment="1">
      <alignment horizontal="center" vertical="top"/>
    </xf>
    <xf numFmtId="41" fontId="13" fillId="0" borderId="17" xfId="94" applyNumberFormat="1" applyFont="1" applyBorder="1" applyAlignment="1">
      <alignment horizontal="center" vertical="top"/>
    </xf>
    <xf numFmtId="41" fontId="13" fillId="0" borderId="0" xfId="94" applyNumberFormat="1" applyFont="1" applyFill="1" applyAlignment="1">
      <alignment horizontal="center" vertical="top"/>
    </xf>
    <xf numFmtId="41" fontId="8" fillId="0" borderId="0" xfId="94" quotePrefix="1" applyNumberFormat="1" applyFont="1" applyAlignment="1">
      <alignment horizontal="left" vertical="top"/>
    </xf>
    <xf numFmtId="41" fontId="13" fillId="0" borderId="21" xfId="94" applyNumberFormat="1" applyFont="1" applyBorder="1" applyAlignment="1">
      <alignment vertical="top"/>
    </xf>
    <xf numFmtId="41" fontId="13" fillId="0" borderId="19" xfId="94" applyNumberFormat="1" applyFont="1" applyBorder="1" applyAlignment="1">
      <alignment vertical="top"/>
    </xf>
    <xf numFmtId="41" fontId="13" fillId="0" borderId="20" xfId="94" applyNumberFormat="1" applyFont="1" applyBorder="1" applyAlignment="1">
      <alignment vertical="top"/>
    </xf>
    <xf numFmtId="41" fontId="13" fillId="0" borderId="0" xfId="94" applyNumberFormat="1" applyFont="1" applyFill="1" applyAlignment="1">
      <alignment vertical="top"/>
    </xf>
    <xf numFmtId="41" fontId="8" fillId="0" borderId="0" xfId="94" quotePrefix="1" applyNumberFormat="1" applyFont="1" applyFill="1" applyAlignment="1">
      <alignment horizontal="left" vertical="top"/>
    </xf>
    <xf numFmtId="41" fontId="13" fillId="0" borderId="22" xfId="94" applyNumberFormat="1" applyFont="1" applyFill="1" applyBorder="1" applyAlignment="1">
      <alignment vertical="top"/>
    </xf>
    <xf numFmtId="41" fontId="13" fillId="0" borderId="0" xfId="94" applyNumberFormat="1" applyFont="1" applyFill="1" applyBorder="1" applyAlignment="1">
      <alignment vertical="top"/>
    </xf>
    <xf numFmtId="41" fontId="13" fillId="0" borderId="23" xfId="94" applyNumberFormat="1" applyFont="1" applyFill="1" applyBorder="1" applyAlignment="1">
      <alignment vertical="top"/>
    </xf>
    <xf numFmtId="41" fontId="13" fillId="0" borderId="5" xfId="92" applyNumberFormat="1" applyFont="1" applyBorder="1" applyAlignment="1">
      <alignment vertical="top"/>
    </xf>
    <xf numFmtId="41" fontId="8" fillId="8" borderId="0" xfId="94" quotePrefix="1" applyNumberFormat="1" applyFont="1" applyFill="1" applyAlignment="1">
      <alignment horizontal="left" vertical="top"/>
    </xf>
    <xf numFmtId="41" fontId="13" fillId="8" borderId="0" xfId="94" applyNumberFormat="1" applyFont="1" applyFill="1" applyAlignment="1">
      <alignment vertical="top"/>
    </xf>
    <xf numFmtId="41" fontId="13" fillId="8" borderId="5" xfId="92" applyNumberFormat="1" applyFont="1" applyFill="1" applyBorder="1" applyAlignment="1">
      <alignment vertical="top"/>
    </xf>
    <xf numFmtId="41" fontId="13" fillId="0" borderId="16" xfId="92" applyNumberFormat="1" applyFont="1" applyBorder="1" applyAlignment="1">
      <alignment vertical="top"/>
    </xf>
    <xf numFmtId="41" fontId="13" fillId="8" borderId="16" xfId="92" applyNumberFormat="1" applyFont="1" applyFill="1" applyBorder="1" applyAlignment="1">
      <alignment vertical="top"/>
    </xf>
    <xf numFmtId="41" fontId="13" fillId="0" borderId="0" xfId="94" quotePrefix="1" applyNumberFormat="1" applyFont="1" applyAlignment="1">
      <alignment horizontal="left" vertical="top" indent="1"/>
    </xf>
    <xf numFmtId="41" fontId="13" fillId="0" borderId="18" xfId="92" applyNumberFormat="1" applyFont="1" applyBorder="1" applyAlignment="1">
      <alignment vertical="top"/>
    </xf>
    <xf numFmtId="41" fontId="13" fillId="8" borderId="0" xfId="94" applyNumberFormat="1" applyFont="1" applyFill="1" applyAlignment="1">
      <alignment horizontal="left" vertical="top" indent="2"/>
    </xf>
    <xf numFmtId="41" fontId="13" fillId="0" borderId="0" xfId="94" applyNumberFormat="1" applyFont="1" applyAlignment="1">
      <alignment horizontal="left" vertical="top" indent="2"/>
    </xf>
    <xf numFmtId="41" fontId="8" fillId="8" borderId="5" xfId="92" applyNumberFormat="1" applyFont="1" applyFill="1" applyBorder="1" applyAlignment="1">
      <alignment vertical="top"/>
    </xf>
    <xf numFmtId="41" fontId="8" fillId="0" borderId="16" xfId="92" applyNumberFormat="1" applyFont="1" applyBorder="1" applyAlignment="1">
      <alignment vertical="top"/>
    </xf>
    <xf numFmtId="41" fontId="8" fillId="8" borderId="0" xfId="94" applyNumberFormat="1" applyFont="1" applyFill="1" applyAlignment="1">
      <alignment horizontal="left" vertical="top" indent="2"/>
    </xf>
    <xf numFmtId="41" fontId="13" fillId="0" borderId="4" xfId="94" applyNumberFormat="1" applyFont="1" applyBorder="1" applyAlignment="1">
      <alignment vertical="top"/>
    </xf>
    <xf numFmtId="41" fontId="8" fillId="0" borderId="0" xfId="0" applyNumberFormat="1" applyFont="1" applyAlignment="1">
      <alignment horizontal="center" vertical="top"/>
    </xf>
    <xf numFmtId="41" fontId="8" fillId="0" borderId="6" xfId="0" applyNumberFormat="1" applyFont="1" applyBorder="1" applyAlignment="1">
      <alignment horizontal="center" vertical="top"/>
    </xf>
    <xf numFmtId="41" fontId="13" fillId="0" borderId="0" xfId="0" applyNumberFormat="1" applyFont="1" applyAlignment="1">
      <alignment horizontal="left" indent="1"/>
    </xf>
    <xf numFmtId="41" fontId="13" fillId="0" borderId="0" xfId="0" applyNumberFormat="1" applyFont="1" applyAlignment="1">
      <alignment horizontal="left" wrapText="1"/>
    </xf>
    <xf numFmtId="41" fontId="13" fillId="0" borderId="5" xfId="94" applyNumberFormat="1" applyFont="1" applyBorder="1" applyAlignment="1">
      <alignment vertical="top"/>
    </xf>
    <xf numFmtId="41" fontId="13" fillId="0" borderId="0" xfId="0" applyNumberFormat="1" applyFont="1"/>
    <xf numFmtId="41" fontId="8" fillId="0" borderId="0" xfId="0" applyNumberFormat="1" applyFont="1"/>
    <xf numFmtId="41" fontId="8" fillId="0" borderId="0" xfId="94" applyNumberFormat="1" applyFont="1" applyAlignment="1">
      <alignment horizontal="left" vertical="top" indent="1"/>
    </xf>
    <xf numFmtId="0" fontId="33" fillId="0" borderId="0" xfId="53" applyFont="1" applyBorder="1" applyAlignment="1">
      <alignment horizontal="center"/>
    </xf>
    <xf numFmtId="44" fontId="2" fillId="0" borderId="0" xfId="0" applyNumberFormat="1" applyFont="1" applyBorder="1" applyAlignment="1">
      <alignment horizontal="center"/>
    </xf>
    <xf numFmtId="0" fontId="33" fillId="0" borderId="0" xfId="53" quotePrefix="1" applyFont="1" applyBorder="1" applyAlignment="1">
      <alignment horizontal="center"/>
    </xf>
    <xf numFmtId="0" fontId="13" fillId="0" borderId="0" xfId="53" applyFont="1" applyBorder="1">
      <alignment vertical="top"/>
    </xf>
    <xf numFmtId="0" fontId="1" fillId="0" borderId="0" xfId="42" applyFont="1"/>
    <xf numFmtId="0" fontId="1" fillId="0" borderId="0" xfId="42" applyFont="1" applyAlignment="1">
      <alignment horizontal="left"/>
    </xf>
    <xf numFmtId="164" fontId="1" fillId="0" borderId="0" xfId="42" applyNumberFormat="1" applyFont="1"/>
    <xf numFmtId="164" fontId="91" fillId="0" borderId="6" xfId="42" applyNumberFormat="1" applyFont="1" applyBorder="1"/>
    <xf numFmtId="0" fontId="91" fillId="0" borderId="29" xfId="42" applyFont="1" applyBorder="1"/>
    <xf numFmtId="0" fontId="1" fillId="0" borderId="30" xfId="42" applyFont="1" applyBorder="1"/>
    <xf numFmtId="0" fontId="1" fillId="0" borderId="31" xfId="42" applyFont="1" applyBorder="1"/>
    <xf numFmtId="0" fontId="91" fillId="0" borderId="32" xfId="42" applyFont="1" applyBorder="1"/>
    <xf numFmtId="0" fontId="91" fillId="0" borderId="6" xfId="42" applyFont="1" applyBorder="1" applyAlignment="1">
      <alignment horizontal="center" wrapText="1"/>
    </xf>
    <xf numFmtId="235" fontId="91" fillId="0" borderId="6" xfId="42" applyNumberFormat="1" applyFont="1" applyBorder="1" applyAlignment="1">
      <alignment horizontal="center"/>
    </xf>
    <xf numFmtId="235" fontId="91" fillId="0" borderId="6" xfId="42" applyNumberFormat="1" applyFont="1" applyBorder="1" applyAlignment="1">
      <alignment horizontal="center" wrapText="1"/>
    </xf>
    <xf numFmtId="235" fontId="91" fillId="0" borderId="33" xfId="42" applyNumberFormat="1" applyFont="1" applyBorder="1" applyAlignment="1">
      <alignment horizontal="center" wrapText="1"/>
    </xf>
    <xf numFmtId="0" fontId="1" fillId="0" borderId="25" xfId="42" applyFont="1" applyBorder="1" applyAlignment="1">
      <alignment horizontal="left"/>
    </xf>
    <xf numFmtId="0" fontId="1" fillId="0" borderId="0" xfId="42" applyFont="1" applyBorder="1"/>
    <xf numFmtId="164" fontId="1" fillId="0" borderId="0" xfId="42" applyNumberFormat="1" applyFont="1" applyBorder="1"/>
    <xf numFmtId="164" fontId="1" fillId="0" borderId="34" xfId="42" applyNumberFormat="1" applyFont="1" applyBorder="1"/>
    <xf numFmtId="0" fontId="1" fillId="0" borderId="25" xfId="42" applyFont="1" applyBorder="1"/>
    <xf numFmtId="164" fontId="1" fillId="0" borderId="6" xfId="42" applyNumberFormat="1" applyFont="1" applyBorder="1"/>
    <xf numFmtId="164" fontId="1" fillId="0" borderId="33" xfId="42" applyNumberFormat="1" applyFont="1" applyBorder="1"/>
    <xf numFmtId="0" fontId="1" fillId="0" borderId="35" xfId="42" applyFont="1" applyBorder="1" applyAlignment="1">
      <alignment horizontal="left"/>
    </xf>
    <xf numFmtId="0" fontId="1" fillId="0" borderId="4" xfId="42" applyFont="1" applyBorder="1"/>
    <xf numFmtId="164" fontId="1" fillId="0" borderId="4" xfId="42" applyNumberFormat="1" applyFont="1" applyBorder="1"/>
    <xf numFmtId="164" fontId="91" fillId="0" borderId="36" xfId="42" applyNumberFormat="1" applyFont="1" applyBorder="1"/>
    <xf numFmtId="164" fontId="1" fillId="0" borderId="0" xfId="93" applyNumberFormat="1" applyFont="1"/>
    <xf numFmtId="0" fontId="1" fillId="0" borderId="0" xfId="0" applyFont="1" applyAlignment="1">
      <alignment horizontal="left"/>
    </xf>
    <xf numFmtId="164" fontId="1" fillId="0" borderId="0" xfId="92" applyNumberFormat="1" applyFont="1"/>
    <xf numFmtId="164" fontId="91" fillId="0" borderId="6" xfId="93" applyNumberFormat="1" applyFont="1" applyBorder="1"/>
    <xf numFmtId="0" fontId="91" fillId="0" borderId="6" xfId="42" applyFont="1" applyBorder="1" applyAlignment="1">
      <alignment horizontal="left"/>
    </xf>
    <xf numFmtId="37" fontId="13" fillId="0" borderId="6" xfId="47" applyNumberFormat="1" applyFont="1" applyFill="1" applyBorder="1"/>
    <xf numFmtId="41" fontId="33" fillId="0" borderId="0" xfId="59" applyNumberFormat="1" applyFont="1"/>
    <xf numFmtId="0" fontId="28" fillId="0" borderId="0" xfId="282" applyFont="1"/>
    <xf numFmtId="0" fontId="13" fillId="0" borderId="0" xfId="282"/>
    <xf numFmtId="0" fontId="8" fillId="0" borderId="0" xfId="0" applyFont="1" applyFill="1" applyAlignment="1">
      <alignment horizontal="center" textRotation="90"/>
    </xf>
    <xf numFmtId="3" fontId="8" fillId="0" borderId="0" xfId="72" applyNumberFormat="1" applyFont="1" applyAlignment="1">
      <alignment horizontal="center" textRotation="90" wrapText="1"/>
    </xf>
    <xf numFmtId="3" fontId="8" fillId="0" borderId="0" xfId="72" applyNumberFormat="1" applyFont="1" applyFill="1" applyAlignment="1">
      <alignment horizontal="center" textRotation="90" wrapText="1"/>
    </xf>
    <xf numFmtId="0" fontId="97" fillId="0" borderId="0" xfId="282" applyFont="1" applyFill="1" applyAlignment="1">
      <alignment horizontal="center" textRotation="90"/>
    </xf>
    <xf numFmtId="0" fontId="8" fillId="0" borderId="0" xfId="282" applyFont="1"/>
    <xf numFmtId="2" fontId="8" fillId="0" borderId="0" xfId="72" applyNumberFormat="1" applyFont="1" applyFill="1" applyAlignment="1">
      <alignment horizontal="center" vertical="center"/>
    </xf>
    <xf numFmtId="2" fontId="8" fillId="0" borderId="0" xfId="72" quotePrefix="1" applyNumberFormat="1" applyFont="1" applyFill="1" applyAlignment="1">
      <alignment horizontal="center" vertical="center" wrapText="1"/>
    </xf>
    <xf numFmtId="3" fontId="13" fillId="0" borderId="0" xfId="0" applyNumberFormat="1" applyFont="1" applyFill="1"/>
    <xf numFmtId="3" fontId="0" fillId="0" borderId="0" xfId="0" applyNumberFormat="1"/>
    <xf numFmtId="37" fontId="0" fillId="0" borderId="0" xfId="0" applyNumberFormat="1" applyFill="1"/>
    <xf numFmtId="37" fontId="28" fillId="0" borderId="0" xfId="282" applyNumberFormat="1" applyFont="1"/>
    <xf numFmtId="0" fontId="98" fillId="0" borderId="0" xfId="282" applyFont="1"/>
    <xf numFmtId="3" fontId="13" fillId="0" borderId="0" xfId="0" applyNumberFormat="1" applyFont="1" applyFill="1" applyBorder="1"/>
    <xf numFmtId="3" fontId="0" fillId="0" borderId="6" xfId="0" applyNumberFormat="1" applyBorder="1"/>
    <xf numFmtId="37" fontId="0" fillId="0" borderId="6" xfId="0" applyNumberFormat="1" applyFill="1" applyBorder="1"/>
    <xf numFmtId="3" fontId="13" fillId="0" borderId="0" xfId="72" applyNumberFormat="1" applyFont="1" applyFill="1" applyBorder="1"/>
    <xf numFmtId="0" fontId="8" fillId="0" borderId="0" xfId="72" quotePrefix="1" applyFont="1" applyFill="1" applyBorder="1" applyAlignment="1">
      <alignment horizontal="right"/>
    </xf>
    <xf numFmtId="3" fontId="13" fillId="0" borderId="8" xfId="72" applyNumberFormat="1" applyFont="1" applyFill="1" applyBorder="1"/>
    <xf numFmtId="0" fontId="8" fillId="0" borderId="0" xfId="282" applyFont="1" applyAlignment="1">
      <alignment horizontal="right"/>
    </xf>
    <xf numFmtId="0" fontId="23" fillId="0" borderId="0" xfId="72" applyFill="1"/>
    <xf numFmtId="3" fontId="23" fillId="0" borderId="0" xfId="72" applyNumberFormat="1" applyFill="1"/>
    <xf numFmtId="0" fontId="35"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0" xfId="0" applyFont="1"/>
    <xf numFmtId="37" fontId="0" fillId="0" borderId="10" xfId="0" applyNumberFormat="1" applyFill="1" applyBorder="1"/>
    <xf numFmtId="10" fontId="0" fillId="0" borderId="0" xfId="0" applyNumberFormat="1" applyFill="1"/>
    <xf numFmtId="10" fontId="0" fillId="0" borderId="0" xfId="222" applyNumberFormat="1" applyFont="1" applyFill="1"/>
    <xf numFmtId="3" fontId="13" fillId="0" borderId="0" xfId="0" applyNumberFormat="1" applyFont="1" applyBorder="1"/>
    <xf numFmtId="0" fontId="13" fillId="0" borderId="0" xfId="72" applyFont="1" applyFill="1" applyBorder="1"/>
    <xf numFmtId="0" fontId="13" fillId="0" borderId="0" xfId="72" applyFont="1" applyFill="1"/>
    <xf numFmtId="0" fontId="13" fillId="0" borderId="0" xfId="282" applyFont="1"/>
    <xf numFmtId="0" fontId="13" fillId="0" borderId="0" xfId="282" quotePrefix="1"/>
    <xf numFmtId="0" fontId="8" fillId="0" borderId="0" xfId="282" quotePrefix="1" applyFont="1" applyFill="1" applyAlignment="1">
      <alignment horizontal="center" textRotation="90"/>
    </xf>
    <xf numFmtId="0" fontId="8" fillId="0" borderId="0" xfId="282" applyFont="1" applyAlignment="1">
      <alignment horizontal="center" wrapText="1"/>
    </xf>
    <xf numFmtId="37" fontId="13" fillId="0" borderId="0" xfId="72" applyNumberFormat="1" applyFont="1" applyAlignment="1">
      <alignment horizontal="right"/>
    </xf>
    <xf numFmtId="3" fontId="13" fillId="0" borderId="0" xfId="282" applyNumberFormat="1"/>
    <xf numFmtId="37" fontId="13" fillId="0" borderId="6" xfId="72" applyNumberFormat="1" applyFont="1" applyBorder="1" applyAlignment="1">
      <alignment horizontal="right"/>
    </xf>
    <xf numFmtId="3" fontId="13" fillId="0" borderId="6" xfId="282" applyNumberFormat="1" applyBorder="1"/>
    <xf numFmtId="37" fontId="0" fillId="0" borderId="8" xfId="0" applyNumberFormat="1" applyBorder="1"/>
    <xf numFmtId="37" fontId="13" fillId="0" borderId="0" xfId="282" applyNumberFormat="1" applyBorder="1"/>
    <xf numFmtId="3" fontId="99" fillId="0" borderId="0" xfId="72" applyNumberFormat="1" applyFont="1" applyFill="1"/>
    <xf numFmtId="0" fontId="97" fillId="0" borderId="0" xfId="282" applyFont="1"/>
    <xf numFmtId="0" fontId="8" fillId="0" borderId="0" xfId="53" applyFont="1" applyAlignment="1">
      <alignment horizontal="center" vertical="top"/>
    </xf>
    <xf numFmtId="0" fontId="8" fillId="0" borderId="0" xfId="53" quotePrefix="1" applyFont="1" applyAlignment="1">
      <alignment horizontal="center" vertical="top"/>
    </xf>
    <xf numFmtId="0" fontId="8" fillId="0" borderId="0" xfId="39" applyFont="1" applyAlignment="1" applyProtection="1">
      <alignment horizontal="center"/>
      <protection locked="0"/>
    </xf>
    <xf numFmtId="172" fontId="8" fillId="0" borderId="0" xfId="39" applyNumberFormat="1" applyFont="1" applyAlignment="1" applyProtection="1">
      <alignment horizontal="center"/>
      <protection locked="0"/>
    </xf>
    <xf numFmtId="0" fontId="37" fillId="0" borderId="6" xfId="45" applyFont="1" applyBorder="1" applyAlignment="1">
      <alignment horizontal="center"/>
    </xf>
    <xf numFmtId="0" fontId="33" fillId="0" borderId="0" xfId="0" quotePrefix="1" applyFont="1" applyAlignment="1">
      <alignment horizontal="center"/>
    </xf>
    <xf numFmtId="0" fontId="47" fillId="0" borderId="0" xfId="0" applyFont="1" applyAlignment="1">
      <alignment horizontal="center"/>
    </xf>
    <xf numFmtId="0" fontId="33" fillId="0" borderId="6" xfId="57" applyFont="1" applyBorder="1" applyAlignment="1">
      <alignment horizontal="center"/>
    </xf>
    <xf numFmtId="0" fontId="29" fillId="0" borderId="6" xfId="53" applyFont="1" applyBorder="1" applyAlignment="1">
      <alignment horizontal="center"/>
    </xf>
    <xf numFmtId="0" fontId="29" fillId="0" borderId="0" xfId="53" applyFont="1" applyBorder="1" applyAlignment="1">
      <alignment horizontal="center"/>
    </xf>
    <xf numFmtId="0" fontId="12" fillId="0" borderId="0" xfId="62" applyFont="1" applyAlignment="1">
      <alignment horizontal="left" wrapText="1"/>
    </xf>
    <xf numFmtId="0" fontId="8" fillId="0" borderId="0" xfId="62" quotePrefix="1" applyFont="1" applyFill="1" applyBorder="1" applyAlignment="1">
      <alignment horizontal="center" vertical="top"/>
    </xf>
    <xf numFmtId="0" fontId="8" fillId="0" borderId="0" xfId="62" applyFont="1" applyFill="1" applyBorder="1" applyAlignment="1">
      <alignment horizontal="center" vertical="top"/>
    </xf>
    <xf numFmtId="0" fontId="33" fillId="0" borderId="0" xfId="280" applyFont="1" applyAlignment="1">
      <alignment horizontal="center"/>
    </xf>
    <xf numFmtId="0" fontId="33" fillId="0" borderId="0" xfId="53" quotePrefix="1" applyFont="1" applyAlignment="1">
      <alignment horizontal="center"/>
    </xf>
    <xf numFmtId="0" fontId="33" fillId="0" borderId="0" xfId="53" applyFont="1" applyAlignment="1">
      <alignment horizontal="center"/>
    </xf>
    <xf numFmtId="3" fontId="8" fillId="0" borderId="0" xfId="72" quotePrefix="1" applyNumberFormat="1" applyFont="1" applyFill="1" applyAlignment="1">
      <alignment horizontal="center"/>
    </xf>
    <xf numFmtId="0" fontId="8" fillId="0" borderId="0" xfId="0" quotePrefix="1" applyFont="1" applyAlignment="1">
      <alignment horizontal="right" wrapText="1"/>
    </xf>
    <xf numFmtId="0" fontId="8" fillId="0" borderId="0" xfId="0" applyFont="1" applyAlignment="1">
      <alignment horizontal="right"/>
    </xf>
    <xf numFmtId="0" fontId="8" fillId="0" borderId="0" xfId="0" quotePrefix="1" applyFont="1" applyAlignment="1">
      <alignment horizontal="right"/>
    </xf>
    <xf numFmtId="0" fontId="8" fillId="0" borderId="0" xfId="282" quotePrefix="1" applyFont="1" applyAlignment="1">
      <alignment horizontal="center"/>
    </xf>
    <xf numFmtId="0" fontId="8" fillId="0" borderId="0" xfId="282" applyFont="1" applyAlignment="1">
      <alignment horizontal="center"/>
    </xf>
    <xf numFmtId="0" fontId="8" fillId="0" borderId="0" xfId="282" applyFont="1" applyAlignment="1">
      <alignment horizontal="right"/>
    </xf>
    <xf numFmtId="0" fontId="93" fillId="0" borderId="0" xfId="0" applyFont="1" applyAlignment="1">
      <alignment horizontal="center"/>
    </xf>
    <xf numFmtId="0" fontId="33" fillId="0" borderId="0" xfId="68" applyFont="1" applyFill="1" applyAlignment="1">
      <alignment horizontal="center"/>
    </xf>
    <xf numFmtId="0" fontId="8" fillId="0" borderId="0" xfId="56" applyFont="1" applyAlignment="1">
      <alignment horizontal="center"/>
    </xf>
    <xf numFmtId="0" fontId="8" fillId="0" borderId="0" xfId="56" quotePrefix="1" applyFont="1" applyAlignment="1">
      <alignment horizontal="center"/>
    </xf>
    <xf numFmtId="0" fontId="33" fillId="0" borderId="0" xfId="59" applyFont="1" applyAlignment="1">
      <alignment horizontal="left" wrapText="1"/>
    </xf>
    <xf numFmtId="0" fontId="8" fillId="0" borderId="0" xfId="40" applyFont="1" applyFill="1" applyAlignment="1">
      <alignment horizontal="center"/>
    </xf>
    <xf numFmtId="0" fontId="8" fillId="0" borderId="0" xfId="40" quotePrefix="1" applyFont="1" applyFill="1" applyAlignment="1">
      <alignment horizontal="center"/>
    </xf>
    <xf numFmtId="0" fontId="43" fillId="0" borderId="6" xfId="0" applyFont="1" applyBorder="1" applyAlignment="1">
      <alignment horizontal="center"/>
    </xf>
    <xf numFmtId="43" fontId="43" fillId="0" borderId="4" xfId="93" quotePrefix="1" applyFont="1" applyBorder="1" applyAlignment="1">
      <alignment horizontal="center"/>
    </xf>
    <xf numFmtId="0" fontId="44" fillId="0" borderId="0" xfId="0" applyFont="1" applyFill="1" applyBorder="1" applyAlignment="1">
      <alignment horizontal="center" vertical="top"/>
    </xf>
    <xf numFmtId="0" fontId="45" fillId="0" borderId="0" xfId="0" applyFont="1" applyAlignment="1">
      <alignment horizontal="center"/>
    </xf>
    <xf numFmtId="0" fontId="44" fillId="0" borderId="0" xfId="0" quotePrefix="1" applyFont="1" applyFill="1" applyBorder="1" applyAlignment="1">
      <alignment horizontal="center" vertical="top"/>
    </xf>
    <xf numFmtId="41" fontId="13" fillId="0" borderId="21" xfId="94" applyNumberFormat="1" applyFont="1" applyBorder="1" applyAlignment="1">
      <alignment horizontal="center" vertical="top"/>
    </xf>
    <xf numFmtId="41" fontId="13" fillId="0" borderId="19" xfId="94" applyNumberFormat="1" applyFont="1" applyBorder="1" applyAlignment="1">
      <alignment horizontal="center" vertical="top"/>
    </xf>
    <xf numFmtId="41" fontId="13" fillId="0" borderId="20" xfId="94" applyNumberFormat="1" applyFont="1" applyBorder="1" applyAlignment="1">
      <alignment horizontal="center" vertical="top"/>
    </xf>
    <xf numFmtId="41" fontId="8" fillId="0" borderId="0" xfId="94" quotePrefix="1" applyNumberFormat="1" applyFont="1" applyAlignment="1">
      <alignment horizontal="center" vertical="top"/>
    </xf>
    <xf numFmtId="41" fontId="8" fillId="0" borderId="0" xfId="94" applyNumberFormat="1" applyFont="1" applyAlignment="1">
      <alignment horizontal="center" vertical="top"/>
    </xf>
    <xf numFmtId="0" fontId="13" fillId="0" borderId="0" xfId="94" applyFont="1" applyAlignment="1">
      <alignment vertical="top"/>
    </xf>
    <xf numFmtId="0" fontId="8" fillId="0" borderId="0" xfId="94" applyFont="1" applyAlignment="1">
      <alignment horizontal="center" vertical="top"/>
    </xf>
    <xf numFmtId="0" fontId="8" fillId="0" borderId="0" xfId="94" quotePrefix="1" applyFont="1" applyAlignment="1">
      <alignment horizontal="center" vertical="top"/>
    </xf>
    <xf numFmtId="0" fontId="0" fillId="0" borderId="0" xfId="0" applyAlignment="1">
      <alignment horizontal="justify" vertical="center"/>
    </xf>
    <xf numFmtId="0" fontId="0" fillId="0" borderId="0" xfId="0" quotePrefix="1" applyAlignment="1">
      <alignment horizontal="justify" vertical="center"/>
    </xf>
  </cellXfs>
  <cellStyles count="283">
    <cellStyle name="=C:\WINNT35\SYSTEM32\COMMAND.COM" xfId="99"/>
    <cellStyle name="black" xfId="100"/>
    <cellStyle name="blu" xfId="101"/>
    <cellStyle name="Body" xfId="1"/>
    <cellStyle name="bot" xfId="102"/>
    <cellStyle name="Bullet" xfId="103"/>
    <cellStyle name="c" xfId="104"/>
    <cellStyle name="c," xfId="105"/>
    <cellStyle name="c_HardInc " xfId="106"/>
    <cellStyle name="C00A" xfId="107"/>
    <cellStyle name="C00B" xfId="108"/>
    <cellStyle name="C00L" xfId="109"/>
    <cellStyle name="C01A" xfId="110"/>
    <cellStyle name="C01B" xfId="111"/>
    <cellStyle name="C01H" xfId="112"/>
    <cellStyle name="C01L" xfId="113"/>
    <cellStyle name="C02A" xfId="114"/>
    <cellStyle name="C02B" xfId="115"/>
    <cellStyle name="C02H" xfId="116"/>
    <cellStyle name="C02L" xfId="117"/>
    <cellStyle name="C03A" xfId="118"/>
    <cellStyle name="C03B" xfId="119"/>
    <cellStyle name="C03H" xfId="120"/>
    <cellStyle name="C03L" xfId="121"/>
    <cellStyle name="C04A" xfId="122"/>
    <cellStyle name="C04B" xfId="123"/>
    <cellStyle name="C04H" xfId="124"/>
    <cellStyle name="C04L" xfId="125"/>
    <cellStyle name="C05A" xfId="126"/>
    <cellStyle name="C05B" xfId="127"/>
    <cellStyle name="C05H" xfId="128"/>
    <cellStyle name="C05L" xfId="129"/>
    <cellStyle name="C06A" xfId="130"/>
    <cellStyle name="C06B" xfId="131"/>
    <cellStyle name="C06H" xfId="132"/>
    <cellStyle name="C06L" xfId="133"/>
    <cellStyle name="C07A" xfId="134"/>
    <cellStyle name="C07B" xfId="135"/>
    <cellStyle name="C07H" xfId="136"/>
    <cellStyle name="C07L" xfId="137"/>
    <cellStyle name="c1" xfId="138"/>
    <cellStyle name="c1," xfId="139"/>
    <cellStyle name="c2" xfId="140"/>
    <cellStyle name="c2," xfId="141"/>
    <cellStyle name="c3" xfId="142"/>
    <cellStyle name="cas" xfId="143"/>
    <cellStyle name="Centered Heading" xfId="144"/>
    <cellStyle name="Comma" xfId="92" builtinId="3"/>
    <cellStyle name="Comma  - Style1" xfId="2"/>
    <cellStyle name="Comma  - Style2" xfId="3"/>
    <cellStyle name="Comma  - Style3" xfId="4"/>
    <cellStyle name="Comma  - Style4" xfId="5"/>
    <cellStyle name="Comma  - Style5" xfId="6"/>
    <cellStyle name="Comma  - Style6" xfId="7"/>
    <cellStyle name="Comma  - Style7" xfId="8"/>
    <cellStyle name="Comma  - Style8" xfId="9"/>
    <cellStyle name="Comma [0] 2" xfId="10"/>
    <cellStyle name="Comma [0] 2 2" xfId="11"/>
    <cellStyle name="Comma 0.0" xfId="145"/>
    <cellStyle name="Comma 0.00" xfId="146"/>
    <cellStyle name="Comma 0.000" xfId="147"/>
    <cellStyle name="Comma 0.0000" xfId="148"/>
    <cellStyle name="Comma 2" xfId="12"/>
    <cellStyle name="Comma 2 2" xfId="13"/>
    <cellStyle name="Comma 3" xfId="14"/>
    <cellStyle name="Comma 3 2" xfId="15"/>
    <cellStyle name="Comma 3 3" xfId="149"/>
    <cellStyle name="Comma 4" xfId="16"/>
    <cellStyle name="Comma 5" xfId="17"/>
    <cellStyle name="Comma 6" xfId="18"/>
    <cellStyle name="Comma 7" xfId="93"/>
    <cellStyle name="Comma0" xfId="150"/>
    <cellStyle name="Comma0 - Style2" xfId="19"/>
    <cellStyle name="Company Name" xfId="151"/>
    <cellStyle name="Currency [$0]" xfId="20"/>
    <cellStyle name="Currency [£0]" xfId="21"/>
    <cellStyle name="Currency 0.0" xfId="152"/>
    <cellStyle name="Currency 0.00" xfId="153"/>
    <cellStyle name="Currency 0.000" xfId="154"/>
    <cellStyle name="Currency 0.0000" xfId="155"/>
    <cellStyle name="Currency 2" xfId="22"/>
    <cellStyle name="Currency 2 2" xfId="156"/>
    <cellStyle name="Currency 3" xfId="23"/>
    <cellStyle name="Currency 3 2" xfId="24"/>
    <cellStyle name="Currency 4" xfId="25"/>
    <cellStyle name="Currency 5" xfId="26"/>
    <cellStyle name="Currency 6" xfId="97"/>
    <cellStyle name="Currency0" xfId="157"/>
    <cellStyle name="d" xfId="158"/>
    <cellStyle name="d," xfId="159"/>
    <cellStyle name="d1" xfId="160"/>
    <cellStyle name="d1," xfId="161"/>
    <cellStyle name="d2" xfId="162"/>
    <cellStyle name="d2," xfId="163"/>
    <cellStyle name="d3" xfId="164"/>
    <cellStyle name="Dash" xfId="165"/>
    <cellStyle name="Date" xfId="166"/>
    <cellStyle name="Define$0" xfId="167"/>
    <cellStyle name="Define$1" xfId="168"/>
    <cellStyle name="Define$2" xfId="169"/>
    <cellStyle name="Define0" xfId="170"/>
    <cellStyle name="Define1" xfId="171"/>
    <cellStyle name="Define1x" xfId="172"/>
    <cellStyle name="Define2" xfId="173"/>
    <cellStyle name="Define2x" xfId="174"/>
    <cellStyle name="Dollar" xfId="175"/>
    <cellStyle name="e" xfId="176"/>
    <cellStyle name="e1" xfId="177"/>
    <cellStyle name="e2" xfId="178"/>
    <cellStyle name="Euro" xfId="179"/>
    <cellStyle name="Fixed" xfId="180"/>
    <cellStyle name="Formula" xfId="27"/>
    <cellStyle name="fred" xfId="28"/>
    <cellStyle name="Fred%" xfId="29"/>
    <cellStyle name="fred_EGSI_TX_LA_SPLIT_BS_12_05_rev" xfId="30"/>
    <cellStyle name="g" xfId="181"/>
    <cellStyle name="general" xfId="182"/>
    <cellStyle name="Green" xfId="183"/>
    <cellStyle name="Grey" xfId="31"/>
    <cellStyle name="Header" xfId="32"/>
    <cellStyle name="Header1" xfId="33"/>
    <cellStyle name="Header2" xfId="34"/>
    <cellStyle name="Heading" xfId="35"/>
    <cellStyle name="Heading No Underline" xfId="184"/>
    <cellStyle name="Heading With Underline" xfId="185"/>
    <cellStyle name="Heading1" xfId="186"/>
    <cellStyle name="Heading2" xfId="187"/>
    <cellStyle name="Headline" xfId="188"/>
    <cellStyle name="Highlight" xfId="189"/>
    <cellStyle name="in" xfId="190"/>
    <cellStyle name="Input [yellow]" xfId="36"/>
    <cellStyle name="Input$0" xfId="191"/>
    <cellStyle name="Input$1" xfId="192"/>
    <cellStyle name="Input$2" xfId="193"/>
    <cellStyle name="Input0" xfId="194"/>
    <cellStyle name="Input1" xfId="195"/>
    <cellStyle name="Input1x" xfId="196"/>
    <cellStyle name="Input2" xfId="197"/>
    <cellStyle name="Input2x" xfId="198"/>
    <cellStyle name="lborder" xfId="199"/>
    <cellStyle name="m" xfId="200"/>
    <cellStyle name="m1" xfId="201"/>
    <cellStyle name="m2" xfId="202"/>
    <cellStyle name="m3" xfId="203"/>
    <cellStyle name="Negative" xfId="204"/>
    <cellStyle name="no dec" xfId="37"/>
    <cellStyle name="Normal" xfId="0" builtinId="0"/>
    <cellStyle name="Normal - Style1" xfId="38"/>
    <cellStyle name="Normal 10" xfId="39"/>
    <cellStyle name="Normal 11" xfId="40"/>
    <cellStyle name="Normal 12" xfId="41"/>
    <cellStyle name="Normal 12 2" xfId="94"/>
    <cellStyle name="Normal 13" xfId="42"/>
    <cellStyle name="Normal 14" xfId="43"/>
    <cellStyle name="Normal 15" xfId="44"/>
    <cellStyle name="Normal 16" xfId="45"/>
    <cellStyle name="Normal 17" xfId="46"/>
    <cellStyle name="Normal 17 2" xfId="47"/>
    <cellStyle name="Normal 17_EAI Workpapers" xfId="48"/>
    <cellStyle name="Normal 18" xfId="49"/>
    <cellStyle name="Normal 19" xfId="95"/>
    <cellStyle name="Normal 2" xfId="50"/>
    <cellStyle name="Normal 2 2" xfId="51"/>
    <cellStyle name="Normal 2_EAI Workpapers" xfId="52"/>
    <cellStyle name="Normal 20" xfId="96"/>
    <cellStyle name="Normal 21" xfId="281"/>
    <cellStyle name="Normal 25" xfId="282"/>
    <cellStyle name="Normal 3" xfId="53"/>
    <cellStyle name="Normal 3 2" xfId="54"/>
    <cellStyle name="Normal 3 3" xfId="205"/>
    <cellStyle name="Normal 3_ITC-Great Plains Heintz 6-24-08a" xfId="206"/>
    <cellStyle name="Normal 4" xfId="55"/>
    <cellStyle name="Normal 4 2" xfId="56"/>
    <cellStyle name="Normal 4_ITC-Great Plains Heintz 6-24-08a" xfId="207"/>
    <cellStyle name="Normal 5" xfId="57"/>
    <cellStyle name="Normal 5 2" xfId="58"/>
    <cellStyle name="Normal 5 3" xfId="59"/>
    <cellStyle name="Normal 5 3_EAI Workpapers" xfId="60"/>
    <cellStyle name="Normal 6" xfId="61"/>
    <cellStyle name="Normal 7" xfId="62"/>
    <cellStyle name="Normal 7 2" xfId="63"/>
    <cellStyle name="Normal 7 3" xfId="280"/>
    <cellStyle name="Normal 7_EAI Workpapers" xfId="64"/>
    <cellStyle name="Normal 8" xfId="65"/>
    <cellStyle name="Normal 8 2" xfId="66"/>
    <cellStyle name="Normal 8_EAI Workpapers" xfId="67"/>
    <cellStyle name="Normal 9" xfId="68"/>
    <cellStyle name="Normal 9 2" xfId="69"/>
    <cellStyle name="Normal 9_EAI Workpapers" xfId="70"/>
    <cellStyle name="Normal_2003OATT3PERCENT" xfId="71"/>
    <cellStyle name="Normal_MSS2LOAD" xfId="72"/>
    <cellStyle name="Normal_PLANT_1999" xfId="73"/>
    <cellStyle name="nPlosion" xfId="74"/>
    <cellStyle name="p" xfId="208"/>
    <cellStyle name="p1" xfId="209"/>
    <cellStyle name="p2" xfId="210"/>
    <cellStyle name="p3" xfId="211"/>
    <cellStyle name="Percen - Style1" xfId="75"/>
    <cellStyle name="Percent" xfId="279" builtinId="5"/>
    <cellStyle name="Percent %" xfId="212"/>
    <cellStyle name="Percent % Long Underline" xfId="213"/>
    <cellStyle name="Percent (0)" xfId="76"/>
    <cellStyle name="Percent [2]" xfId="77"/>
    <cellStyle name="Percent 0.0%" xfId="214"/>
    <cellStyle name="Percent 0.0% Long Underline" xfId="215"/>
    <cellStyle name="Percent 0.00%" xfId="216"/>
    <cellStyle name="Percent 0.00% Long Underline" xfId="217"/>
    <cellStyle name="Percent 0.000%" xfId="218"/>
    <cellStyle name="Percent 0.000% Long Underline" xfId="219"/>
    <cellStyle name="Percent 0.0000%" xfId="220"/>
    <cellStyle name="Percent 0.0000% Long Underline" xfId="221"/>
    <cellStyle name="Percent 2" xfId="78"/>
    <cellStyle name="Percent 2 2" xfId="222"/>
    <cellStyle name="Percent 3" xfId="79"/>
    <cellStyle name="Percent 3 2" xfId="223"/>
    <cellStyle name="Percent 4" xfId="80"/>
    <cellStyle name="Percent 5" xfId="98"/>
    <cellStyle name="Percent0" xfId="224"/>
    <cellStyle name="Percent1" xfId="225"/>
    <cellStyle name="Percent2" xfId="226"/>
    <cellStyle name="PSChar" xfId="81"/>
    <cellStyle name="PSChar 2" xfId="82"/>
    <cellStyle name="PSDate" xfId="83"/>
    <cellStyle name="PSDec" xfId="84"/>
    <cellStyle name="PSDec 2" xfId="85"/>
    <cellStyle name="PSdesc" xfId="227"/>
    <cellStyle name="PSHeading" xfId="86"/>
    <cellStyle name="PSInt" xfId="87"/>
    <cellStyle name="PSSpacer" xfId="88"/>
    <cellStyle name="PStest" xfId="228"/>
    <cellStyle name="R00A" xfId="229"/>
    <cellStyle name="R00B" xfId="230"/>
    <cellStyle name="R00L" xfId="231"/>
    <cellStyle name="R01A" xfId="232"/>
    <cellStyle name="R01B" xfId="233"/>
    <cellStyle name="R01H" xfId="234"/>
    <cellStyle name="R01L" xfId="235"/>
    <cellStyle name="R02A" xfId="236"/>
    <cellStyle name="R02B" xfId="237"/>
    <cellStyle name="R02H" xfId="238"/>
    <cellStyle name="R02L" xfId="239"/>
    <cellStyle name="R03A" xfId="240"/>
    <cellStyle name="R03B" xfId="241"/>
    <cellStyle name="R03H" xfId="242"/>
    <cellStyle name="R03L" xfId="243"/>
    <cellStyle name="R04A" xfId="244"/>
    <cellStyle name="R04B" xfId="245"/>
    <cellStyle name="R04H" xfId="246"/>
    <cellStyle name="R04L" xfId="247"/>
    <cellStyle name="R05A" xfId="248"/>
    <cellStyle name="R05B" xfId="249"/>
    <cellStyle name="R05H" xfId="250"/>
    <cellStyle name="R05L" xfId="251"/>
    <cellStyle name="R06A" xfId="252"/>
    <cellStyle name="R06B" xfId="253"/>
    <cellStyle name="R06H" xfId="254"/>
    <cellStyle name="R06L" xfId="255"/>
    <cellStyle name="R07A" xfId="256"/>
    <cellStyle name="R07B" xfId="257"/>
    <cellStyle name="R07H" xfId="258"/>
    <cellStyle name="R07L" xfId="259"/>
    <cellStyle name="rborder" xfId="260"/>
    <cellStyle name="red" xfId="261"/>
    <cellStyle name="RowLevel_" xfId="89"/>
    <cellStyle name="s_HardInc " xfId="262"/>
    <cellStyle name="TableHeading" xfId="263"/>
    <cellStyle name="tb" xfId="264"/>
    <cellStyle name="Tickmark" xfId="90"/>
    <cellStyle name="Times New Roman" xfId="91"/>
    <cellStyle name="top" xfId="265"/>
    <cellStyle name="w" xfId="266"/>
    <cellStyle name="XComma" xfId="267"/>
    <cellStyle name="XComma 0.0" xfId="268"/>
    <cellStyle name="XComma 0.00" xfId="269"/>
    <cellStyle name="XComma 0.000" xfId="270"/>
    <cellStyle name="XCurrency" xfId="271"/>
    <cellStyle name="XCurrency 0.0" xfId="272"/>
    <cellStyle name="XCurrency 0.00" xfId="273"/>
    <cellStyle name="XCurrency 0.000" xfId="274"/>
    <cellStyle name="yra" xfId="275"/>
    <cellStyle name="yrActual" xfId="276"/>
    <cellStyle name="yre" xfId="277"/>
    <cellStyle name="yrExpect" xfId="2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31750</xdr:colOff>
      <xdr:row>44</xdr:row>
      <xdr:rowOff>63500</xdr:rowOff>
    </xdr:from>
    <xdr:to>
      <xdr:col>0</xdr:col>
      <xdr:colOff>523874</xdr:colOff>
      <xdr:row>48</xdr:row>
      <xdr:rowOff>130175</xdr:rowOff>
    </xdr:to>
    <xdr:sp macro="" textlink="">
      <xdr:nvSpPr>
        <xdr:cNvPr id="2" name="Rectangle 1"/>
        <xdr:cNvSpPr/>
      </xdr:nvSpPr>
      <xdr:spPr>
        <a:xfrm>
          <a:off x="31750" y="7239000"/>
          <a:ext cx="492124" cy="701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l"/>
          <a:r>
            <a:rPr lang="en-US" sz="1100">
              <a:solidFill>
                <a:sysClr val="windowText" lastClr="000000"/>
              </a:solidFill>
              <a:latin typeface="Arial" panose="020B0604020202020204" pitchFamily="34" charset="0"/>
              <a:cs typeface="Arial" panose="020B0604020202020204" pitchFamily="34" charset="0"/>
            </a:rPr>
            <a:t>WP 8a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heetViews>
  <sheetFormatPr defaultRowHeight="14.4"/>
  <cols>
    <col min="1" max="1" width="65.6640625" bestFit="1" customWidth="1"/>
  </cols>
  <sheetData>
    <row r="1" spans="1:1" s="455" customFormat="1" ht="13.2"/>
    <row r="2" spans="1:1" s="455" customFormat="1" ht="13.2"/>
    <row r="3" spans="1:1" s="455" customFormat="1" ht="13.2">
      <c r="A3" s="456" t="str">
        <f>+'WP 1'!D2</f>
        <v>Entergy Texas, Inc. (ETI)</v>
      </c>
    </row>
    <row r="4" spans="1:1" s="455" customFormat="1" ht="13.2">
      <c r="A4" s="456" t="s">
        <v>732</v>
      </c>
    </row>
    <row r="5" spans="1:1" s="455" customFormat="1" ht="13.2">
      <c r="A5" s="457"/>
    </row>
    <row r="7" spans="1:1">
      <c r="A7" s="458" t="s">
        <v>733</v>
      </c>
    </row>
    <row r="8" spans="1:1">
      <c r="A8" s="458" t="s">
        <v>734</v>
      </c>
    </row>
    <row r="9" spans="1:1">
      <c r="A9" s="458" t="s">
        <v>735</v>
      </c>
    </row>
    <row r="10" spans="1:1">
      <c r="A10" s="458" t="s">
        <v>736</v>
      </c>
    </row>
    <row r="11" spans="1:1">
      <c r="A11" s="458" t="s">
        <v>737</v>
      </c>
    </row>
    <row r="12" spans="1:1">
      <c r="A12" s="458" t="s">
        <v>738</v>
      </c>
    </row>
    <row r="13" spans="1:1">
      <c r="A13" s="458" t="s">
        <v>739</v>
      </c>
    </row>
    <row r="14" spans="1:1">
      <c r="A14" s="458" t="s">
        <v>740</v>
      </c>
    </row>
    <row r="15" spans="1:1">
      <c r="A15" s="458" t="s">
        <v>741</v>
      </c>
    </row>
    <row r="16" spans="1:1">
      <c r="A16" s="459" t="s">
        <v>742</v>
      </c>
    </row>
    <row r="17" spans="1:1">
      <c r="A17" s="459" t="s">
        <v>743</v>
      </c>
    </row>
    <row r="18" spans="1:1">
      <c r="A18" s="458" t="s">
        <v>744</v>
      </c>
    </row>
    <row r="19" spans="1:1">
      <c r="A19" s="458" t="s">
        <v>745</v>
      </c>
    </row>
    <row r="20" spans="1:1">
      <c r="A20" s="458" t="s">
        <v>746</v>
      </c>
    </row>
    <row r="21" spans="1:1">
      <c r="A21" s="458" t="s">
        <v>747</v>
      </c>
    </row>
    <row r="22" spans="1:1">
      <c r="A22" s="458" t="s">
        <v>748</v>
      </c>
    </row>
    <row r="23" spans="1:1">
      <c r="A23" s="458" t="s">
        <v>749</v>
      </c>
    </row>
    <row r="24" spans="1:1">
      <c r="A24" s="45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D33" sqref="D33"/>
    </sheetView>
  </sheetViews>
  <sheetFormatPr defaultColWidth="9.109375" defaultRowHeight="13.2"/>
  <cols>
    <col min="1" max="1" width="16.109375" style="340" customWidth="1"/>
    <col min="2" max="2" width="25.88671875" style="340" customWidth="1"/>
    <col min="3" max="7" width="14" style="340" bestFit="1" customWidth="1"/>
    <col min="8" max="8" width="23" style="340" bestFit="1" customWidth="1"/>
    <col min="9" max="16384" width="9.109375" style="340"/>
  </cols>
  <sheetData>
    <row r="1" spans="1:8">
      <c r="A1" s="428" t="s">
        <v>0</v>
      </c>
      <c r="B1" s="428"/>
      <c r="C1" s="428"/>
      <c r="D1" s="428"/>
      <c r="E1" s="428"/>
      <c r="F1" s="428"/>
      <c r="G1" s="428"/>
      <c r="H1" s="428"/>
    </row>
    <row r="2" spans="1:8">
      <c r="A2" s="428" t="s">
        <v>677</v>
      </c>
      <c r="B2" s="428"/>
      <c r="C2" s="428"/>
      <c r="D2" s="428"/>
      <c r="E2" s="428"/>
      <c r="F2" s="428"/>
      <c r="G2" s="428"/>
      <c r="H2" s="428"/>
    </row>
    <row r="3" spans="1:8">
      <c r="A3" s="428" t="s">
        <v>579</v>
      </c>
      <c r="B3" s="428"/>
      <c r="C3" s="428"/>
      <c r="D3" s="428"/>
      <c r="E3" s="428"/>
      <c r="F3" s="428"/>
      <c r="G3" s="428"/>
      <c r="H3" s="428"/>
    </row>
    <row r="4" spans="1:8">
      <c r="A4" s="297"/>
      <c r="B4" s="297"/>
      <c r="C4" s="297"/>
      <c r="D4" s="297"/>
    </row>
    <row r="6" spans="1:8">
      <c r="A6" s="341" t="s">
        <v>34</v>
      </c>
      <c r="B6" s="342">
        <v>-13109275.84</v>
      </c>
    </row>
    <row r="7" spans="1:8">
      <c r="A7" s="341" t="s">
        <v>36</v>
      </c>
      <c r="B7" s="342">
        <v>-4591161.24</v>
      </c>
    </row>
    <row r="8" spans="1:8">
      <c r="A8" s="341" t="s">
        <v>35</v>
      </c>
      <c r="B8" s="342">
        <v>-3027964.12</v>
      </c>
    </row>
    <row r="9" spans="1:8">
      <c r="A9" s="341" t="s">
        <v>37</v>
      </c>
      <c r="B9" s="342">
        <v>-2613313.2799999998</v>
      </c>
    </row>
    <row r="10" spans="1:8">
      <c r="A10" s="341" t="s">
        <v>38</v>
      </c>
      <c r="B10" s="342">
        <v>-782387.48</v>
      </c>
    </row>
    <row r="11" spans="1:8">
      <c r="A11" s="367" t="s">
        <v>25</v>
      </c>
      <c r="B11" s="343">
        <v>-2261911.92</v>
      </c>
    </row>
    <row r="12" spans="1:8">
      <c r="A12" s="341" t="s">
        <v>46</v>
      </c>
      <c r="B12" s="342">
        <f>SUM(B6:B11)</f>
        <v>-26386013.880000003</v>
      </c>
    </row>
    <row r="14" spans="1:8" ht="13.8" thickBot="1"/>
    <row r="15" spans="1:8">
      <c r="A15" s="344" t="s">
        <v>25</v>
      </c>
      <c r="B15" s="345"/>
      <c r="C15" s="345"/>
      <c r="D15" s="345"/>
      <c r="E15" s="345"/>
      <c r="F15" s="345"/>
      <c r="G15" s="345"/>
      <c r="H15" s="346"/>
    </row>
    <row r="16" spans="1:8" ht="26.4">
      <c r="A16" s="347" t="s">
        <v>62</v>
      </c>
      <c r="B16" s="348" t="s">
        <v>63</v>
      </c>
      <c r="C16" s="349">
        <v>41670</v>
      </c>
      <c r="D16" s="349">
        <v>41698</v>
      </c>
      <c r="E16" s="349">
        <v>41729</v>
      </c>
      <c r="F16" s="350" t="s">
        <v>46</v>
      </c>
      <c r="G16" s="350" t="s">
        <v>678</v>
      </c>
      <c r="H16" s="351" t="s">
        <v>679</v>
      </c>
    </row>
    <row r="17" spans="1:8">
      <c r="A17" s="352" t="s">
        <v>680</v>
      </c>
      <c r="B17" s="353" t="s">
        <v>681</v>
      </c>
      <c r="C17" s="354">
        <v>-8986.91</v>
      </c>
      <c r="D17" s="354">
        <v>-4272.12</v>
      </c>
      <c r="E17" s="354">
        <v>-1697.41</v>
      </c>
      <c r="F17" s="354">
        <f>SUM(C17:E17)</f>
        <v>-14956.439999999999</v>
      </c>
      <c r="G17" s="354">
        <f>F17/3</f>
        <v>-4985.4799999999996</v>
      </c>
      <c r="H17" s="355">
        <f>G17*12</f>
        <v>-59825.759999999995</v>
      </c>
    </row>
    <row r="18" spans="1:8">
      <c r="A18" s="352" t="s">
        <v>682</v>
      </c>
      <c r="B18" s="353" t="s">
        <v>683</v>
      </c>
      <c r="C18" s="354">
        <v>-161479.62</v>
      </c>
      <c r="D18" s="354">
        <v>-127857.64</v>
      </c>
      <c r="E18" s="354">
        <v>-155078.79999999999</v>
      </c>
      <c r="F18" s="354">
        <f t="shared" ref="F18:F19" si="0">SUM(C18:E18)</f>
        <v>-444416.06</v>
      </c>
      <c r="G18" s="354">
        <f t="shared" ref="G18:G19" si="1">F18/3</f>
        <v>-148138.68666666668</v>
      </c>
      <c r="H18" s="355">
        <f t="shared" ref="H18:H19" si="2">G18*12</f>
        <v>-1777664.2400000002</v>
      </c>
    </row>
    <row r="19" spans="1:8">
      <c r="A19" s="356" t="s">
        <v>684</v>
      </c>
      <c r="B19" s="353" t="s">
        <v>685</v>
      </c>
      <c r="C19" s="357">
        <v>-42715.89</v>
      </c>
      <c r="D19" s="357">
        <v>-28623.58</v>
      </c>
      <c r="E19" s="357">
        <v>-34766.01</v>
      </c>
      <c r="F19" s="357">
        <f t="shared" si="0"/>
        <v>-106105.48000000001</v>
      </c>
      <c r="G19" s="357">
        <f t="shared" si="1"/>
        <v>-35368.493333333339</v>
      </c>
      <c r="H19" s="358">
        <f t="shared" si="2"/>
        <v>-424421.92000000004</v>
      </c>
    </row>
    <row r="20" spans="1:8" ht="13.8" thickBot="1">
      <c r="A20" s="359" t="s">
        <v>46</v>
      </c>
      <c r="B20" s="360"/>
      <c r="C20" s="361">
        <f>SUM(C17:C19)</f>
        <v>-213182.41999999998</v>
      </c>
      <c r="D20" s="361">
        <f t="shared" ref="D20:H20" si="3">SUM(D17:D19)</f>
        <v>-160753.34000000003</v>
      </c>
      <c r="E20" s="361">
        <f t="shared" si="3"/>
        <v>-191542.22</v>
      </c>
      <c r="F20" s="361">
        <f t="shared" si="3"/>
        <v>-565477.98</v>
      </c>
      <c r="G20" s="361">
        <f t="shared" si="3"/>
        <v>-188492.66000000003</v>
      </c>
      <c r="H20" s="362">
        <f t="shared" si="3"/>
        <v>-2261911.9200000004</v>
      </c>
    </row>
  </sheetData>
  <mergeCells count="3">
    <mergeCell ref="A1:H1"/>
    <mergeCell ref="A2:H2"/>
    <mergeCell ref="A3:H3"/>
  </mergeCells>
  <pageMargins left="0.7" right="0.7" top="0.75" bottom="0.51" header="0.3" footer="0.3"/>
  <pageSetup scale="8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
  <sheetViews>
    <sheetView zoomScaleNormal="100" workbookViewId="0">
      <selection activeCell="F20" sqref="F20"/>
    </sheetView>
  </sheetViews>
  <sheetFormatPr defaultColWidth="9.109375" defaultRowHeight="13.2"/>
  <cols>
    <col min="1" max="1" width="15.109375" style="339" bestFit="1" customWidth="1"/>
    <col min="2" max="2" width="14.109375" style="233" bestFit="1" customWidth="1"/>
    <col min="3" max="3" width="19" style="233" customWidth="1"/>
    <col min="4" max="4" width="18" style="233" bestFit="1" customWidth="1"/>
    <col min="5" max="5" width="16.109375" style="233" bestFit="1" customWidth="1"/>
    <col min="6" max="16384" width="9.109375" style="233"/>
  </cols>
  <sheetData>
    <row r="1" spans="1:8">
      <c r="A1" s="429" t="s">
        <v>0</v>
      </c>
      <c r="B1" s="430"/>
      <c r="C1" s="430"/>
      <c r="D1" s="430"/>
      <c r="E1" s="430"/>
    </row>
    <row r="2" spans="1:8">
      <c r="A2" s="429" t="s">
        <v>619</v>
      </c>
      <c r="B2" s="430"/>
      <c r="C2" s="430"/>
      <c r="D2" s="430"/>
      <c r="E2" s="430"/>
      <c r="F2" s="236"/>
      <c r="G2" s="236"/>
      <c r="H2" s="236"/>
    </row>
    <row r="3" spans="1:8">
      <c r="A3" s="430" t="s">
        <v>91</v>
      </c>
      <c r="B3" s="430"/>
      <c r="C3" s="430"/>
      <c r="D3" s="430"/>
      <c r="E3" s="430"/>
      <c r="F3" s="236"/>
      <c r="G3" s="236"/>
      <c r="H3" s="236"/>
    </row>
    <row r="4" spans="1:8">
      <c r="A4" s="336"/>
      <c r="B4" s="232"/>
      <c r="C4" s="232"/>
      <c r="D4" s="232"/>
      <c r="E4" s="232"/>
      <c r="F4" s="232"/>
      <c r="G4" s="232"/>
      <c r="H4" s="232"/>
    </row>
    <row r="5" spans="1:8" ht="24.75" customHeight="1">
      <c r="A5" s="337"/>
      <c r="B5" s="237" t="s">
        <v>166</v>
      </c>
      <c r="C5" s="237" t="s">
        <v>620</v>
      </c>
      <c r="D5" s="237" t="s">
        <v>167</v>
      </c>
      <c r="E5" s="238" t="s">
        <v>168</v>
      </c>
      <c r="F5" s="232"/>
      <c r="G5" s="232"/>
      <c r="H5" s="232"/>
    </row>
    <row r="6" spans="1:8">
      <c r="A6" s="336" t="s">
        <v>34</v>
      </c>
      <c r="B6" s="234">
        <v>463118.13999999996</v>
      </c>
      <c r="C6" s="234">
        <v>497876.75</v>
      </c>
      <c r="D6" s="234">
        <v>11233.41</v>
      </c>
      <c r="E6" s="234">
        <f>SUM(B6:D6)</f>
        <v>972228.29999999993</v>
      </c>
      <c r="F6" s="232"/>
      <c r="G6" s="232"/>
      <c r="H6" s="232"/>
    </row>
    <row r="7" spans="1:8">
      <c r="A7" s="336" t="s">
        <v>35</v>
      </c>
      <c r="B7" s="234">
        <v>609798.84000000008</v>
      </c>
      <c r="C7" s="234">
        <v>654157.89999999991</v>
      </c>
      <c r="D7" s="234">
        <v>14454.44</v>
      </c>
      <c r="E7" s="234">
        <f t="shared" ref="E7:E11" si="0">SUM(B7:D7)</f>
        <v>1278411.18</v>
      </c>
      <c r="F7" s="232"/>
      <c r="G7" s="232"/>
      <c r="H7" s="232"/>
    </row>
    <row r="8" spans="1:8">
      <c r="A8" s="336" t="s">
        <v>36</v>
      </c>
      <c r="B8" s="234">
        <v>310732.20000000007</v>
      </c>
      <c r="C8" s="234">
        <v>333511.44</v>
      </c>
      <c r="D8" s="234">
        <v>7444.27</v>
      </c>
      <c r="E8" s="234">
        <f t="shared" si="0"/>
        <v>651687.91000000015</v>
      </c>
      <c r="F8" s="232"/>
      <c r="G8" s="232"/>
      <c r="H8" s="232"/>
    </row>
    <row r="9" spans="1:8">
      <c r="A9" s="336" t="s">
        <v>37</v>
      </c>
      <c r="B9" s="234">
        <v>102166.42000000001</v>
      </c>
      <c r="C9" s="234">
        <v>109694.25000000001</v>
      </c>
      <c r="D9" s="234">
        <v>2433.19</v>
      </c>
      <c r="E9" s="234">
        <f t="shared" si="0"/>
        <v>214293.86000000004</v>
      </c>
      <c r="F9" s="232"/>
      <c r="G9" s="232"/>
      <c r="H9" s="232"/>
    </row>
    <row r="10" spans="1:8">
      <c r="A10" s="336" t="s">
        <v>38</v>
      </c>
      <c r="B10" s="234">
        <v>395165.20999999996</v>
      </c>
      <c r="C10" s="234">
        <v>423610.98</v>
      </c>
      <c r="D10" s="234">
        <v>9330.8100000000013</v>
      </c>
      <c r="E10" s="234">
        <f t="shared" si="0"/>
        <v>828107</v>
      </c>
      <c r="F10" s="232"/>
      <c r="G10" s="232"/>
      <c r="H10" s="232"/>
    </row>
    <row r="11" spans="1:8">
      <c r="A11" s="336" t="s">
        <v>25</v>
      </c>
      <c r="B11" s="235">
        <v>366744.98</v>
      </c>
      <c r="C11" s="235">
        <v>393453.01</v>
      </c>
      <c r="D11" s="235">
        <v>8698.4</v>
      </c>
      <c r="E11" s="239">
        <f t="shared" si="0"/>
        <v>768896.39</v>
      </c>
      <c r="F11" s="232"/>
      <c r="G11" s="232"/>
      <c r="H11" s="232"/>
    </row>
    <row r="12" spans="1:8" ht="13.8" thickBot="1">
      <c r="A12" s="338" t="s">
        <v>693</v>
      </c>
      <c r="B12" s="247">
        <f>SUM(B6:B11)</f>
        <v>2247725.79</v>
      </c>
      <c r="C12" s="247">
        <f t="shared" ref="C12:E12" si="1">SUM(C6:C11)</f>
        <v>2412304.33</v>
      </c>
      <c r="D12" s="247">
        <f t="shared" si="1"/>
        <v>53594.52</v>
      </c>
      <c r="E12" s="247">
        <f t="shared" si="1"/>
        <v>4713624.6399999997</v>
      </c>
      <c r="F12" s="232"/>
      <c r="G12" s="232"/>
      <c r="H12" s="232"/>
    </row>
    <row r="13" spans="1:8" ht="13.8" thickTop="1"/>
  </sheetData>
  <mergeCells count="3">
    <mergeCell ref="A2:E2"/>
    <mergeCell ref="A3:E3"/>
    <mergeCell ref="A1:E1"/>
  </mergeCells>
  <phoneticPr fontId="38" type="noConversion"/>
  <pageMargins left="0.7" right="0.7" top="0.75" bottom="0.75" header="0.3" footer="0.3"/>
  <pageSetup orientation="portrait" r:id="rId1"/>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28"/>
  <sheetViews>
    <sheetView workbookViewId="0"/>
  </sheetViews>
  <sheetFormatPr defaultRowHeight="13.2"/>
  <cols>
    <col min="1" max="1" width="9.109375" style="253"/>
    <col min="2" max="2" width="5.5546875" style="253" bestFit="1" customWidth="1"/>
    <col min="3" max="4" width="3.5546875" style="253" bestFit="1" customWidth="1"/>
    <col min="5" max="5" width="5.5546875" style="253" bestFit="1" customWidth="1"/>
    <col min="6" max="6" width="10.109375" style="253" bestFit="1" customWidth="1"/>
    <col min="7" max="12" width="9.109375" style="253"/>
    <col min="13" max="13" width="10.109375" style="253" bestFit="1" customWidth="1"/>
    <col min="14" max="14" width="10.6640625" style="371" customWidth="1"/>
    <col min="15" max="15" width="11.44140625" style="371" bestFit="1" customWidth="1"/>
    <col min="16" max="17" width="10.109375" style="253" customWidth="1"/>
    <col min="18" max="19" width="10.109375" style="252" bestFit="1" customWidth="1"/>
    <col min="20" max="21" width="9.109375" style="252"/>
    <col min="22" max="259" width="9.109375" style="253"/>
    <col min="260" max="260" width="5.5546875" style="253" bestFit="1" customWidth="1"/>
    <col min="261" max="262" width="3.5546875" style="253" bestFit="1" customWidth="1"/>
    <col min="263" max="263" width="5.5546875" style="253" bestFit="1" customWidth="1"/>
    <col min="264" max="264" width="10.109375" style="253" bestFit="1" customWidth="1"/>
    <col min="265" max="270" width="9.109375" style="253"/>
    <col min="271" max="271" width="10.109375" style="253" bestFit="1" customWidth="1"/>
    <col min="272" max="273" width="10.109375" style="253" customWidth="1"/>
    <col min="274" max="275" width="10.109375" style="253" bestFit="1" customWidth="1"/>
    <col min="276" max="515" width="9.109375" style="253"/>
    <col min="516" max="516" width="5.5546875" style="253" bestFit="1" customWidth="1"/>
    <col min="517" max="518" width="3.5546875" style="253" bestFit="1" customWidth="1"/>
    <col min="519" max="519" width="5.5546875" style="253" bestFit="1" customWidth="1"/>
    <col min="520" max="520" width="10.109375" style="253" bestFit="1" customWidth="1"/>
    <col min="521" max="526" width="9.109375" style="253"/>
    <col min="527" max="527" width="10.109375" style="253" bestFit="1" customWidth="1"/>
    <col min="528" max="529" width="10.109375" style="253" customWidth="1"/>
    <col min="530" max="531" width="10.109375" style="253" bestFit="1" customWidth="1"/>
    <col min="532" max="771" width="9.109375" style="253"/>
    <col min="772" max="772" width="5.5546875" style="253" bestFit="1" customWidth="1"/>
    <col min="773" max="774" width="3.5546875" style="253" bestFit="1" customWidth="1"/>
    <col min="775" max="775" width="5.5546875" style="253" bestFit="1" customWidth="1"/>
    <col min="776" max="776" width="10.109375" style="253" bestFit="1" customWidth="1"/>
    <col min="777" max="782" width="9.109375" style="253"/>
    <col min="783" max="783" width="10.109375" style="253" bestFit="1" customWidth="1"/>
    <col min="784" max="785" width="10.109375" style="253" customWidth="1"/>
    <col min="786" max="787" width="10.109375" style="253" bestFit="1" customWidth="1"/>
    <col min="788" max="1027" width="9.109375" style="253"/>
    <col min="1028" max="1028" width="5.5546875" style="253" bestFit="1" customWidth="1"/>
    <col min="1029" max="1030" width="3.5546875" style="253" bestFit="1" customWidth="1"/>
    <col min="1031" max="1031" width="5.5546875" style="253" bestFit="1" customWidth="1"/>
    <col min="1032" max="1032" width="10.109375" style="253" bestFit="1" customWidth="1"/>
    <col min="1033" max="1038" width="9.109375" style="253"/>
    <col min="1039" max="1039" width="10.109375" style="253" bestFit="1" customWidth="1"/>
    <col min="1040" max="1041" width="10.109375" style="253" customWidth="1"/>
    <col min="1042" max="1043" width="10.109375" style="253" bestFit="1" customWidth="1"/>
    <col min="1044" max="1283" width="9.109375" style="253"/>
    <col min="1284" max="1284" width="5.5546875" style="253" bestFit="1" customWidth="1"/>
    <col min="1285" max="1286" width="3.5546875" style="253" bestFit="1" customWidth="1"/>
    <col min="1287" max="1287" width="5.5546875" style="253" bestFit="1" customWidth="1"/>
    <col min="1288" max="1288" width="10.109375" style="253" bestFit="1" customWidth="1"/>
    <col min="1289" max="1294" width="9.109375" style="253"/>
    <col min="1295" max="1295" width="10.109375" style="253" bestFit="1" customWidth="1"/>
    <col min="1296" max="1297" width="10.109375" style="253" customWidth="1"/>
    <col min="1298" max="1299" width="10.109375" style="253" bestFit="1" customWidth="1"/>
    <col min="1300" max="1539" width="9.109375" style="253"/>
    <col min="1540" max="1540" width="5.5546875" style="253" bestFit="1" customWidth="1"/>
    <col min="1541" max="1542" width="3.5546875" style="253" bestFit="1" customWidth="1"/>
    <col min="1543" max="1543" width="5.5546875" style="253" bestFit="1" customWidth="1"/>
    <col min="1544" max="1544" width="10.109375" style="253" bestFit="1" customWidth="1"/>
    <col min="1545" max="1550" width="9.109375" style="253"/>
    <col min="1551" max="1551" width="10.109375" style="253" bestFit="1" customWidth="1"/>
    <col min="1552" max="1553" width="10.109375" style="253" customWidth="1"/>
    <col min="1554" max="1555" width="10.109375" style="253" bestFit="1" customWidth="1"/>
    <col min="1556" max="1795" width="9.109375" style="253"/>
    <col min="1796" max="1796" width="5.5546875" style="253" bestFit="1" customWidth="1"/>
    <col min="1797" max="1798" width="3.5546875" style="253" bestFit="1" customWidth="1"/>
    <col min="1799" max="1799" width="5.5546875" style="253" bestFit="1" customWidth="1"/>
    <col min="1800" max="1800" width="10.109375" style="253" bestFit="1" customWidth="1"/>
    <col min="1801" max="1806" width="9.109375" style="253"/>
    <col min="1807" max="1807" width="10.109375" style="253" bestFit="1" customWidth="1"/>
    <col min="1808" max="1809" width="10.109375" style="253" customWidth="1"/>
    <col min="1810" max="1811" width="10.109375" style="253" bestFit="1" customWidth="1"/>
    <col min="1812" max="2051" width="9.109375" style="253"/>
    <col min="2052" max="2052" width="5.5546875" style="253" bestFit="1" customWidth="1"/>
    <col min="2053" max="2054" width="3.5546875" style="253" bestFit="1" customWidth="1"/>
    <col min="2055" max="2055" width="5.5546875" style="253" bestFit="1" customWidth="1"/>
    <col min="2056" max="2056" width="10.109375" style="253" bestFit="1" customWidth="1"/>
    <col min="2057" max="2062" width="9.109375" style="253"/>
    <col min="2063" max="2063" width="10.109375" style="253" bestFit="1" customWidth="1"/>
    <col min="2064" max="2065" width="10.109375" style="253" customWidth="1"/>
    <col min="2066" max="2067" width="10.109375" style="253" bestFit="1" customWidth="1"/>
    <col min="2068" max="2307" width="9.109375" style="253"/>
    <col min="2308" max="2308" width="5.5546875" style="253" bestFit="1" customWidth="1"/>
    <col min="2309" max="2310" width="3.5546875" style="253" bestFit="1" customWidth="1"/>
    <col min="2311" max="2311" width="5.5546875" style="253" bestFit="1" customWidth="1"/>
    <col min="2312" max="2312" width="10.109375" style="253" bestFit="1" customWidth="1"/>
    <col min="2313" max="2318" width="9.109375" style="253"/>
    <col min="2319" max="2319" width="10.109375" style="253" bestFit="1" customWidth="1"/>
    <col min="2320" max="2321" width="10.109375" style="253" customWidth="1"/>
    <col min="2322" max="2323" width="10.109375" style="253" bestFit="1" customWidth="1"/>
    <col min="2324" max="2563" width="9.109375" style="253"/>
    <col min="2564" max="2564" width="5.5546875" style="253" bestFit="1" customWidth="1"/>
    <col min="2565" max="2566" width="3.5546875" style="253" bestFit="1" customWidth="1"/>
    <col min="2567" max="2567" width="5.5546875" style="253" bestFit="1" customWidth="1"/>
    <col min="2568" max="2568" width="10.109375" style="253" bestFit="1" customWidth="1"/>
    <col min="2569" max="2574" width="9.109375" style="253"/>
    <col min="2575" max="2575" width="10.109375" style="253" bestFit="1" customWidth="1"/>
    <col min="2576" max="2577" width="10.109375" style="253" customWidth="1"/>
    <col min="2578" max="2579" width="10.109375" style="253" bestFit="1" customWidth="1"/>
    <col min="2580" max="2819" width="9.109375" style="253"/>
    <col min="2820" max="2820" width="5.5546875" style="253" bestFit="1" customWidth="1"/>
    <col min="2821" max="2822" width="3.5546875" style="253" bestFit="1" customWidth="1"/>
    <col min="2823" max="2823" width="5.5546875" style="253" bestFit="1" customWidth="1"/>
    <col min="2824" max="2824" width="10.109375" style="253" bestFit="1" customWidth="1"/>
    <col min="2825" max="2830" width="9.109375" style="253"/>
    <col min="2831" max="2831" width="10.109375" style="253" bestFit="1" customWidth="1"/>
    <col min="2832" max="2833" width="10.109375" style="253" customWidth="1"/>
    <col min="2834" max="2835" width="10.109375" style="253" bestFit="1" customWidth="1"/>
    <col min="2836" max="3075" width="9.109375" style="253"/>
    <col min="3076" max="3076" width="5.5546875" style="253" bestFit="1" customWidth="1"/>
    <col min="3077" max="3078" width="3.5546875" style="253" bestFit="1" customWidth="1"/>
    <col min="3079" max="3079" width="5.5546875" style="253" bestFit="1" customWidth="1"/>
    <col min="3080" max="3080" width="10.109375" style="253" bestFit="1" customWidth="1"/>
    <col min="3081" max="3086" width="9.109375" style="253"/>
    <col min="3087" max="3087" width="10.109375" style="253" bestFit="1" customWidth="1"/>
    <col min="3088" max="3089" width="10.109375" style="253" customWidth="1"/>
    <col min="3090" max="3091" width="10.109375" style="253" bestFit="1" customWidth="1"/>
    <col min="3092" max="3331" width="9.109375" style="253"/>
    <col min="3332" max="3332" width="5.5546875" style="253" bestFit="1" customWidth="1"/>
    <col min="3333" max="3334" width="3.5546875" style="253" bestFit="1" customWidth="1"/>
    <col min="3335" max="3335" width="5.5546875" style="253" bestFit="1" customWidth="1"/>
    <col min="3336" max="3336" width="10.109375" style="253" bestFit="1" customWidth="1"/>
    <col min="3337" max="3342" width="9.109375" style="253"/>
    <col min="3343" max="3343" width="10.109375" style="253" bestFit="1" customWidth="1"/>
    <col min="3344" max="3345" width="10.109375" style="253" customWidth="1"/>
    <col min="3346" max="3347" width="10.109375" style="253" bestFit="1" customWidth="1"/>
    <col min="3348" max="3587" width="9.109375" style="253"/>
    <col min="3588" max="3588" width="5.5546875" style="253" bestFit="1" customWidth="1"/>
    <col min="3589" max="3590" width="3.5546875" style="253" bestFit="1" customWidth="1"/>
    <col min="3591" max="3591" width="5.5546875" style="253" bestFit="1" customWidth="1"/>
    <col min="3592" max="3592" width="10.109375" style="253" bestFit="1" customWidth="1"/>
    <col min="3593" max="3598" width="9.109375" style="253"/>
    <col min="3599" max="3599" width="10.109375" style="253" bestFit="1" customWidth="1"/>
    <col min="3600" max="3601" width="10.109375" style="253" customWidth="1"/>
    <col min="3602" max="3603" width="10.109375" style="253" bestFit="1" customWidth="1"/>
    <col min="3604" max="3843" width="9.109375" style="253"/>
    <col min="3844" max="3844" width="5.5546875" style="253" bestFit="1" customWidth="1"/>
    <col min="3845" max="3846" width="3.5546875" style="253" bestFit="1" customWidth="1"/>
    <col min="3847" max="3847" width="5.5546875" style="253" bestFit="1" customWidth="1"/>
    <col min="3848" max="3848" width="10.109375" style="253" bestFit="1" customWidth="1"/>
    <col min="3849" max="3854" width="9.109375" style="253"/>
    <col min="3855" max="3855" width="10.109375" style="253" bestFit="1" customWidth="1"/>
    <col min="3856" max="3857" width="10.109375" style="253" customWidth="1"/>
    <col min="3858" max="3859" width="10.109375" style="253" bestFit="1" customWidth="1"/>
    <col min="3860" max="4099" width="9.109375" style="253"/>
    <col min="4100" max="4100" width="5.5546875" style="253" bestFit="1" customWidth="1"/>
    <col min="4101" max="4102" width="3.5546875" style="253" bestFit="1" customWidth="1"/>
    <col min="4103" max="4103" width="5.5546875" style="253" bestFit="1" customWidth="1"/>
    <col min="4104" max="4104" width="10.109375" style="253" bestFit="1" customWidth="1"/>
    <col min="4105" max="4110" width="9.109375" style="253"/>
    <col min="4111" max="4111" width="10.109375" style="253" bestFit="1" customWidth="1"/>
    <col min="4112" max="4113" width="10.109375" style="253" customWidth="1"/>
    <col min="4114" max="4115" width="10.109375" style="253" bestFit="1" customWidth="1"/>
    <col min="4116" max="4355" width="9.109375" style="253"/>
    <col min="4356" max="4356" width="5.5546875" style="253" bestFit="1" customWidth="1"/>
    <col min="4357" max="4358" width="3.5546875" style="253" bestFit="1" customWidth="1"/>
    <col min="4359" max="4359" width="5.5546875" style="253" bestFit="1" customWidth="1"/>
    <col min="4360" max="4360" width="10.109375" style="253" bestFit="1" customWidth="1"/>
    <col min="4361" max="4366" width="9.109375" style="253"/>
    <col min="4367" max="4367" width="10.109375" style="253" bestFit="1" customWidth="1"/>
    <col min="4368" max="4369" width="10.109375" style="253" customWidth="1"/>
    <col min="4370" max="4371" width="10.109375" style="253" bestFit="1" customWidth="1"/>
    <col min="4372" max="4611" width="9.109375" style="253"/>
    <col min="4612" max="4612" width="5.5546875" style="253" bestFit="1" customWidth="1"/>
    <col min="4613" max="4614" width="3.5546875" style="253" bestFit="1" customWidth="1"/>
    <col min="4615" max="4615" width="5.5546875" style="253" bestFit="1" customWidth="1"/>
    <col min="4616" max="4616" width="10.109375" style="253" bestFit="1" customWidth="1"/>
    <col min="4617" max="4622" width="9.109375" style="253"/>
    <col min="4623" max="4623" width="10.109375" style="253" bestFit="1" customWidth="1"/>
    <col min="4624" max="4625" width="10.109375" style="253" customWidth="1"/>
    <col min="4626" max="4627" width="10.109375" style="253" bestFit="1" customWidth="1"/>
    <col min="4628" max="4867" width="9.109375" style="253"/>
    <col min="4868" max="4868" width="5.5546875" style="253" bestFit="1" customWidth="1"/>
    <col min="4869" max="4870" width="3.5546875" style="253" bestFit="1" customWidth="1"/>
    <col min="4871" max="4871" width="5.5546875" style="253" bestFit="1" customWidth="1"/>
    <col min="4872" max="4872" width="10.109375" style="253" bestFit="1" customWidth="1"/>
    <col min="4873" max="4878" width="9.109375" style="253"/>
    <col min="4879" max="4879" width="10.109375" style="253" bestFit="1" customWidth="1"/>
    <col min="4880" max="4881" width="10.109375" style="253" customWidth="1"/>
    <col min="4882" max="4883" width="10.109375" style="253" bestFit="1" customWidth="1"/>
    <col min="4884" max="5123" width="9.109375" style="253"/>
    <col min="5124" max="5124" width="5.5546875" style="253" bestFit="1" customWidth="1"/>
    <col min="5125" max="5126" width="3.5546875" style="253" bestFit="1" customWidth="1"/>
    <col min="5127" max="5127" width="5.5546875" style="253" bestFit="1" customWidth="1"/>
    <col min="5128" max="5128" width="10.109375" style="253" bestFit="1" customWidth="1"/>
    <col min="5129" max="5134" width="9.109375" style="253"/>
    <col min="5135" max="5135" width="10.109375" style="253" bestFit="1" customWidth="1"/>
    <col min="5136" max="5137" width="10.109375" style="253" customWidth="1"/>
    <col min="5138" max="5139" width="10.109375" style="253" bestFit="1" customWidth="1"/>
    <col min="5140" max="5379" width="9.109375" style="253"/>
    <col min="5380" max="5380" width="5.5546875" style="253" bestFit="1" customWidth="1"/>
    <col min="5381" max="5382" width="3.5546875" style="253" bestFit="1" customWidth="1"/>
    <col min="5383" max="5383" width="5.5546875" style="253" bestFit="1" customWidth="1"/>
    <col min="5384" max="5384" width="10.109375" style="253" bestFit="1" customWidth="1"/>
    <col min="5385" max="5390" width="9.109375" style="253"/>
    <col min="5391" max="5391" width="10.109375" style="253" bestFit="1" customWidth="1"/>
    <col min="5392" max="5393" width="10.109375" style="253" customWidth="1"/>
    <col min="5394" max="5395" width="10.109375" style="253" bestFit="1" customWidth="1"/>
    <col min="5396" max="5635" width="9.109375" style="253"/>
    <col min="5636" max="5636" width="5.5546875" style="253" bestFit="1" customWidth="1"/>
    <col min="5637" max="5638" width="3.5546875" style="253" bestFit="1" customWidth="1"/>
    <col min="5639" max="5639" width="5.5546875" style="253" bestFit="1" customWidth="1"/>
    <col min="5640" max="5640" width="10.109375" style="253" bestFit="1" customWidth="1"/>
    <col min="5641" max="5646" width="9.109375" style="253"/>
    <col min="5647" max="5647" width="10.109375" style="253" bestFit="1" customWidth="1"/>
    <col min="5648" max="5649" width="10.109375" style="253" customWidth="1"/>
    <col min="5650" max="5651" width="10.109375" style="253" bestFit="1" customWidth="1"/>
    <col min="5652" max="5891" width="9.109375" style="253"/>
    <col min="5892" max="5892" width="5.5546875" style="253" bestFit="1" customWidth="1"/>
    <col min="5893" max="5894" width="3.5546875" style="253" bestFit="1" customWidth="1"/>
    <col min="5895" max="5895" width="5.5546875" style="253" bestFit="1" customWidth="1"/>
    <col min="5896" max="5896" width="10.109375" style="253" bestFit="1" customWidth="1"/>
    <col min="5897" max="5902" width="9.109375" style="253"/>
    <col min="5903" max="5903" width="10.109375" style="253" bestFit="1" customWidth="1"/>
    <col min="5904" max="5905" width="10.109375" style="253" customWidth="1"/>
    <col min="5906" max="5907" width="10.109375" style="253" bestFit="1" customWidth="1"/>
    <col min="5908" max="6147" width="9.109375" style="253"/>
    <col min="6148" max="6148" width="5.5546875" style="253" bestFit="1" customWidth="1"/>
    <col min="6149" max="6150" width="3.5546875" style="253" bestFit="1" customWidth="1"/>
    <col min="6151" max="6151" width="5.5546875" style="253" bestFit="1" customWidth="1"/>
    <col min="6152" max="6152" width="10.109375" style="253" bestFit="1" customWidth="1"/>
    <col min="6153" max="6158" width="9.109375" style="253"/>
    <col min="6159" max="6159" width="10.109375" style="253" bestFit="1" customWidth="1"/>
    <col min="6160" max="6161" width="10.109375" style="253" customWidth="1"/>
    <col min="6162" max="6163" width="10.109375" style="253" bestFit="1" customWidth="1"/>
    <col min="6164" max="6403" width="9.109375" style="253"/>
    <col min="6404" max="6404" width="5.5546875" style="253" bestFit="1" customWidth="1"/>
    <col min="6405" max="6406" width="3.5546875" style="253" bestFit="1" customWidth="1"/>
    <col min="6407" max="6407" width="5.5546875" style="253" bestFit="1" customWidth="1"/>
    <col min="6408" max="6408" width="10.109375" style="253" bestFit="1" customWidth="1"/>
    <col min="6409" max="6414" width="9.109375" style="253"/>
    <col min="6415" max="6415" width="10.109375" style="253" bestFit="1" customWidth="1"/>
    <col min="6416" max="6417" width="10.109375" style="253" customWidth="1"/>
    <col min="6418" max="6419" width="10.109375" style="253" bestFit="1" customWidth="1"/>
    <col min="6420" max="6659" width="9.109375" style="253"/>
    <col min="6660" max="6660" width="5.5546875" style="253" bestFit="1" customWidth="1"/>
    <col min="6661" max="6662" width="3.5546875" style="253" bestFit="1" customWidth="1"/>
    <col min="6663" max="6663" width="5.5546875" style="253" bestFit="1" customWidth="1"/>
    <col min="6664" max="6664" width="10.109375" style="253" bestFit="1" customWidth="1"/>
    <col min="6665" max="6670" width="9.109375" style="253"/>
    <col min="6671" max="6671" width="10.109375" style="253" bestFit="1" customWidth="1"/>
    <col min="6672" max="6673" width="10.109375" style="253" customWidth="1"/>
    <col min="6674" max="6675" width="10.109375" style="253" bestFit="1" customWidth="1"/>
    <col min="6676" max="6915" width="9.109375" style="253"/>
    <col min="6916" max="6916" width="5.5546875" style="253" bestFit="1" customWidth="1"/>
    <col min="6917" max="6918" width="3.5546875" style="253" bestFit="1" customWidth="1"/>
    <col min="6919" max="6919" width="5.5546875" style="253" bestFit="1" customWidth="1"/>
    <col min="6920" max="6920" width="10.109375" style="253" bestFit="1" customWidth="1"/>
    <col min="6921" max="6926" width="9.109375" style="253"/>
    <col min="6927" max="6927" width="10.109375" style="253" bestFit="1" customWidth="1"/>
    <col min="6928" max="6929" width="10.109375" style="253" customWidth="1"/>
    <col min="6930" max="6931" width="10.109375" style="253" bestFit="1" customWidth="1"/>
    <col min="6932" max="7171" width="9.109375" style="253"/>
    <col min="7172" max="7172" width="5.5546875" style="253" bestFit="1" customWidth="1"/>
    <col min="7173" max="7174" width="3.5546875" style="253" bestFit="1" customWidth="1"/>
    <col min="7175" max="7175" width="5.5546875" style="253" bestFit="1" customWidth="1"/>
    <col min="7176" max="7176" width="10.109375" style="253" bestFit="1" customWidth="1"/>
    <col min="7177" max="7182" width="9.109375" style="253"/>
    <col min="7183" max="7183" width="10.109375" style="253" bestFit="1" customWidth="1"/>
    <col min="7184" max="7185" width="10.109375" style="253" customWidth="1"/>
    <col min="7186" max="7187" width="10.109375" style="253" bestFit="1" customWidth="1"/>
    <col min="7188" max="7427" width="9.109375" style="253"/>
    <col min="7428" max="7428" width="5.5546875" style="253" bestFit="1" customWidth="1"/>
    <col min="7429" max="7430" width="3.5546875" style="253" bestFit="1" customWidth="1"/>
    <col min="7431" max="7431" width="5.5546875" style="253" bestFit="1" customWidth="1"/>
    <col min="7432" max="7432" width="10.109375" style="253" bestFit="1" customWidth="1"/>
    <col min="7433" max="7438" width="9.109375" style="253"/>
    <col min="7439" max="7439" width="10.109375" style="253" bestFit="1" customWidth="1"/>
    <col min="7440" max="7441" width="10.109375" style="253" customWidth="1"/>
    <col min="7442" max="7443" width="10.109375" style="253" bestFit="1" customWidth="1"/>
    <col min="7444" max="7683" width="9.109375" style="253"/>
    <col min="7684" max="7684" width="5.5546875" style="253" bestFit="1" customWidth="1"/>
    <col min="7685" max="7686" width="3.5546875" style="253" bestFit="1" customWidth="1"/>
    <col min="7687" max="7687" width="5.5546875" style="253" bestFit="1" customWidth="1"/>
    <col min="7688" max="7688" width="10.109375" style="253" bestFit="1" customWidth="1"/>
    <col min="7689" max="7694" width="9.109375" style="253"/>
    <col min="7695" max="7695" width="10.109375" style="253" bestFit="1" customWidth="1"/>
    <col min="7696" max="7697" width="10.109375" style="253" customWidth="1"/>
    <col min="7698" max="7699" width="10.109375" style="253" bestFit="1" customWidth="1"/>
    <col min="7700" max="7939" width="9.109375" style="253"/>
    <col min="7940" max="7940" width="5.5546875" style="253" bestFit="1" customWidth="1"/>
    <col min="7941" max="7942" width="3.5546875" style="253" bestFit="1" customWidth="1"/>
    <col min="7943" max="7943" width="5.5546875" style="253" bestFit="1" customWidth="1"/>
    <col min="7944" max="7944" width="10.109375" style="253" bestFit="1" customWidth="1"/>
    <col min="7945" max="7950" width="9.109375" style="253"/>
    <col min="7951" max="7951" width="10.109375" style="253" bestFit="1" customWidth="1"/>
    <col min="7952" max="7953" width="10.109375" style="253" customWidth="1"/>
    <col min="7954" max="7955" width="10.109375" style="253" bestFit="1" customWidth="1"/>
    <col min="7956" max="8195" width="9.109375" style="253"/>
    <col min="8196" max="8196" width="5.5546875" style="253" bestFit="1" customWidth="1"/>
    <col min="8197" max="8198" width="3.5546875" style="253" bestFit="1" customWidth="1"/>
    <col min="8199" max="8199" width="5.5546875" style="253" bestFit="1" customWidth="1"/>
    <col min="8200" max="8200" width="10.109375" style="253" bestFit="1" customWidth="1"/>
    <col min="8201" max="8206" width="9.109375" style="253"/>
    <col min="8207" max="8207" width="10.109375" style="253" bestFit="1" customWidth="1"/>
    <col min="8208" max="8209" width="10.109375" style="253" customWidth="1"/>
    <col min="8210" max="8211" width="10.109375" style="253" bestFit="1" customWidth="1"/>
    <col min="8212" max="8451" width="9.109375" style="253"/>
    <col min="8452" max="8452" width="5.5546875" style="253" bestFit="1" customWidth="1"/>
    <col min="8453" max="8454" width="3.5546875" style="253" bestFit="1" customWidth="1"/>
    <col min="8455" max="8455" width="5.5546875" style="253" bestFit="1" customWidth="1"/>
    <col min="8456" max="8456" width="10.109375" style="253" bestFit="1" customWidth="1"/>
    <col min="8457" max="8462" width="9.109375" style="253"/>
    <col min="8463" max="8463" width="10.109375" style="253" bestFit="1" customWidth="1"/>
    <col min="8464" max="8465" width="10.109375" style="253" customWidth="1"/>
    <col min="8466" max="8467" width="10.109375" style="253" bestFit="1" customWidth="1"/>
    <col min="8468" max="8707" width="9.109375" style="253"/>
    <col min="8708" max="8708" width="5.5546875" style="253" bestFit="1" customWidth="1"/>
    <col min="8709" max="8710" width="3.5546875" style="253" bestFit="1" customWidth="1"/>
    <col min="8711" max="8711" width="5.5546875" style="253" bestFit="1" customWidth="1"/>
    <col min="8712" max="8712" width="10.109375" style="253" bestFit="1" customWidth="1"/>
    <col min="8713" max="8718" width="9.109375" style="253"/>
    <col min="8719" max="8719" width="10.109375" style="253" bestFit="1" customWidth="1"/>
    <col min="8720" max="8721" width="10.109375" style="253" customWidth="1"/>
    <col min="8722" max="8723" width="10.109375" style="253" bestFit="1" customWidth="1"/>
    <col min="8724" max="8963" width="9.109375" style="253"/>
    <col min="8964" max="8964" width="5.5546875" style="253" bestFit="1" customWidth="1"/>
    <col min="8965" max="8966" width="3.5546875" style="253" bestFit="1" customWidth="1"/>
    <col min="8967" max="8967" width="5.5546875" style="253" bestFit="1" customWidth="1"/>
    <col min="8968" max="8968" width="10.109375" style="253" bestFit="1" customWidth="1"/>
    <col min="8969" max="8974" width="9.109375" style="253"/>
    <col min="8975" max="8975" width="10.109375" style="253" bestFit="1" customWidth="1"/>
    <col min="8976" max="8977" width="10.109375" style="253" customWidth="1"/>
    <col min="8978" max="8979" width="10.109375" style="253" bestFit="1" customWidth="1"/>
    <col min="8980" max="9219" width="9.109375" style="253"/>
    <col min="9220" max="9220" width="5.5546875" style="253" bestFit="1" customWidth="1"/>
    <col min="9221" max="9222" width="3.5546875" style="253" bestFit="1" customWidth="1"/>
    <col min="9223" max="9223" width="5.5546875" style="253" bestFit="1" customWidth="1"/>
    <col min="9224" max="9224" width="10.109375" style="253" bestFit="1" customWidth="1"/>
    <col min="9225" max="9230" width="9.109375" style="253"/>
    <col min="9231" max="9231" width="10.109375" style="253" bestFit="1" customWidth="1"/>
    <col min="9232" max="9233" width="10.109375" style="253" customWidth="1"/>
    <col min="9234" max="9235" width="10.109375" style="253" bestFit="1" customWidth="1"/>
    <col min="9236" max="9475" width="9.109375" style="253"/>
    <col min="9476" max="9476" width="5.5546875" style="253" bestFit="1" customWidth="1"/>
    <col min="9477" max="9478" width="3.5546875" style="253" bestFit="1" customWidth="1"/>
    <col min="9479" max="9479" width="5.5546875" style="253" bestFit="1" customWidth="1"/>
    <col min="9480" max="9480" width="10.109375" style="253" bestFit="1" customWidth="1"/>
    <col min="9481" max="9486" width="9.109375" style="253"/>
    <col min="9487" max="9487" width="10.109375" style="253" bestFit="1" customWidth="1"/>
    <col min="9488" max="9489" width="10.109375" style="253" customWidth="1"/>
    <col min="9490" max="9491" width="10.109375" style="253" bestFit="1" customWidth="1"/>
    <col min="9492" max="9731" width="9.109375" style="253"/>
    <col min="9732" max="9732" width="5.5546875" style="253" bestFit="1" customWidth="1"/>
    <col min="9733" max="9734" width="3.5546875" style="253" bestFit="1" customWidth="1"/>
    <col min="9735" max="9735" width="5.5546875" style="253" bestFit="1" customWidth="1"/>
    <col min="9736" max="9736" width="10.109375" style="253" bestFit="1" customWidth="1"/>
    <col min="9737" max="9742" width="9.109375" style="253"/>
    <col min="9743" max="9743" width="10.109375" style="253" bestFit="1" customWidth="1"/>
    <col min="9744" max="9745" width="10.109375" style="253" customWidth="1"/>
    <col min="9746" max="9747" width="10.109375" style="253" bestFit="1" customWidth="1"/>
    <col min="9748" max="9987" width="9.109375" style="253"/>
    <col min="9988" max="9988" width="5.5546875" style="253" bestFit="1" customWidth="1"/>
    <col min="9989" max="9990" width="3.5546875" style="253" bestFit="1" customWidth="1"/>
    <col min="9991" max="9991" width="5.5546875" style="253" bestFit="1" customWidth="1"/>
    <col min="9992" max="9992" width="10.109375" style="253" bestFit="1" customWidth="1"/>
    <col min="9993" max="9998" width="9.109375" style="253"/>
    <col min="9999" max="9999" width="10.109375" style="253" bestFit="1" customWidth="1"/>
    <col min="10000" max="10001" width="10.109375" style="253" customWidth="1"/>
    <col min="10002" max="10003" width="10.109375" style="253" bestFit="1" customWidth="1"/>
    <col min="10004" max="10243" width="9.109375" style="253"/>
    <col min="10244" max="10244" width="5.5546875" style="253" bestFit="1" customWidth="1"/>
    <col min="10245" max="10246" width="3.5546875" style="253" bestFit="1" customWidth="1"/>
    <col min="10247" max="10247" width="5.5546875" style="253" bestFit="1" customWidth="1"/>
    <col min="10248" max="10248" width="10.109375" style="253" bestFit="1" customWidth="1"/>
    <col min="10249" max="10254" width="9.109375" style="253"/>
    <col min="10255" max="10255" width="10.109375" style="253" bestFit="1" customWidth="1"/>
    <col min="10256" max="10257" width="10.109375" style="253" customWidth="1"/>
    <col min="10258" max="10259" width="10.109375" style="253" bestFit="1" customWidth="1"/>
    <col min="10260" max="10499" width="9.109375" style="253"/>
    <col min="10500" max="10500" width="5.5546875" style="253" bestFit="1" customWidth="1"/>
    <col min="10501" max="10502" width="3.5546875" style="253" bestFit="1" customWidth="1"/>
    <col min="10503" max="10503" width="5.5546875" style="253" bestFit="1" customWidth="1"/>
    <col min="10504" max="10504" width="10.109375" style="253" bestFit="1" customWidth="1"/>
    <col min="10505" max="10510" width="9.109375" style="253"/>
    <col min="10511" max="10511" width="10.109375" style="253" bestFit="1" customWidth="1"/>
    <col min="10512" max="10513" width="10.109375" style="253" customWidth="1"/>
    <col min="10514" max="10515" width="10.109375" style="253" bestFit="1" customWidth="1"/>
    <col min="10516" max="10755" width="9.109375" style="253"/>
    <col min="10756" max="10756" width="5.5546875" style="253" bestFit="1" customWidth="1"/>
    <col min="10757" max="10758" width="3.5546875" style="253" bestFit="1" customWidth="1"/>
    <col min="10759" max="10759" width="5.5546875" style="253" bestFit="1" customWidth="1"/>
    <col min="10760" max="10760" width="10.109375" style="253" bestFit="1" customWidth="1"/>
    <col min="10761" max="10766" width="9.109375" style="253"/>
    <col min="10767" max="10767" width="10.109375" style="253" bestFit="1" customWidth="1"/>
    <col min="10768" max="10769" width="10.109375" style="253" customWidth="1"/>
    <col min="10770" max="10771" width="10.109375" style="253" bestFit="1" customWidth="1"/>
    <col min="10772" max="11011" width="9.109375" style="253"/>
    <col min="11012" max="11012" width="5.5546875" style="253" bestFit="1" customWidth="1"/>
    <col min="11013" max="11014" width="3.5546875" style="253" bestFit="1" customWidth="1"/>
    <col min="11015" max="11015" width="5.5546875" style="253" bestFit="1" customWidth="1"/>
    <col min="11016" max="11016" width="10.109375" style="253" bestFit="1" customWidth="1"/>
    <col min="11017" max="11022" width="9.109375" style="253"/>
    <col min="11023" max="11023" width="10.109375" style="253" bestFit="1" customWidth="1"/>
    <col min="11024" max="11025" width="10.109375" style="253" customWidth="1"/>
    <col min="11026" max="11027" width="10.109375" style="253" bestFit="1" customWidth="1"/>
    <col min="11028" max="11267" width="9.109375" style="253"/>
    <col min="11268" max="11268" width="5.5546875" style="253" bestFit="1" customWidth="1"/>
    <col min="11269" max="11270" width="3.5546875" style="253" bestFit="1" customWidth="1"/>
    <col min="11271" max="11271" width="5.5546875" style="253" bestFit="1" customWidth="1"/>
    <col min="11272" max="11272" width="10.109375" style="253" bestFit="1" customWidth="1"/>
    <col min="11273" max="11278" width="9.109375" style="253"/>
    <col min="11279" max="11279" width="10.109375" style="253" bestFit="1" customWidth="1"/>
    <col min="11280" max="11281" width="10.109375" style="253" customWidth="1"/>
    <col min="11282" max="11283" width="10.109375" style="253" bestFit="1" customWidth="1"/>
    <col min="11284" max="11523" width="9.109375" style="253"/>
    <col min="11524" max="11524" width="5.5546875" style="253" bestFit="1" customWidth="1"/>
    <col min="11525" max="11526" width="3.5546875" style="253" bestFit="1" customWidth="1"/>
    <col min="11527" max="11527" width="5.5546875" style="253" bestFit="1" customWidth="1"/>
    <col min="11528" max="11528" width="10.109375" style="253" bestFit="1" customWidth="1"/>
    <col min="11529" max="11534" width="9.109375" style="253"/>
    <col min="11535" max="11535" width="10.109375" style="253" bestFit="1" customWidth="1"/>
    <col min="11536" max="11537" width="10.109375" style="253" customWidth="1"/>
    <col min="11538" max="11539" width="10.109375" style="253" bestFit="1" customWidth="1"/>
    <col min="11540" max="11779" width="9.109375" style="253"/>
    <col min="11780" max="11780" width="5.5546875" style="253" bestFit="1" customWidth="1"/>
    <col min="11781" max="11782" width="3.5546875" style="253" bestFit="1" customWidth="1"/>
    <col min="11783" max="11783" width="5.5546875" style="253" bestFit="1" customWidth="1"/>
    <col min="11784" max="11784" width="10.109375" style="253" bestFit="1" customWidth="1"/>
    <col min="11785" max="11790" width="9.109375" style="253"/>
    <col min="11791" max="11791" width="10.109375" style="253" bestFit="1" customWidth="1"/>
    <col min="11792" max="11793" width="10.109375" style="253" customWidth="1"/>
    <col min="11794" max="11795" width="10.109375" style="253" bestFit="1" customWidth="1"/>
    <col min="11796" max="12035" width="9.109375" style="253"/>
    <col min="12036" max="12036" width="5.5546875" style="253" bestFit="1" customWidth="1"/>
    <col min="12037" max="12038" width="3.5546875" style="253" bestFit="1" customWidth="1"/>
    <col min="12039" max="12039" width="5.5546875" style="253" bestFit="1" customWidth="1"/>
    <col min="12040" max="12040" width="10.109375" style="253" bestFit="1" customWidth="1"/>
    <col min="12041" max="12046" width="9.109375" style="253"/>
    <col min="12047" max="12047" width="10.109375" style="253" bestFit="1" customWidth="1"/>
    <col min="12048" max="12049" width="10.109375" style="253" customWidth="1"/>
    <col min="12050" max="12051" width="10.109375" style="253" bestFit="1" customWidth="1"/>
    <col min="12052" max="12291" width="9.109375" style="253"/>
    <col min="12292" max="12292" width="5.5546875" style="253" bestFit="1" customWidth="1"/>
    <col min="12293" max="12294" width="3.5546875" style="253" bestFit="1" customWidth="1"/>
    <col min="12295" max="12295" width="5.5546875" style="253" bestFit="1" customWidth="1"/>
    <col min="12296" max="12296" width="10.109375" style="253" bestFit="1" customWidth="1"/>
    <col min="12297" max="12302" width="9.109375" style="253"/>
    <col min="12303" max="12303" width="10.109375" style="253" bestFit="1" customWidth="1"/>
    <col min="12304" max="12305" width="10.109375" style="253" customWidth="1"/>
    <col min="12306" max="12307" width="10.109375" style="253" bestFit="1" customWidth="1"/>
    <col min="12308" max="12547" width="9.109375" style="253"/>
    <col min="12548" max="12548" width="5.5546875" style="253" bestFit="1" customWidth="1"/>
    <col min="12549" max="12550" width="3.5546875" style="253" bestFit="1" customWidth="1"/>
    <col min="12551" max="12551" width="5.5546875" style="253" bestFit="1" customWidth="1"/>
    <col min="12552" max="12552" width="10.109375" style="253" bestFit="1" customWidth="1"/>
    <col min="12553" max="12558" width="9.109375" style="253"/>
    <col min="12559" max="12559" width="10.109375" style="253" bestFit="1" customWidth="1"/>
    <col min="12560" max="12561" width="10.109375" style="253" customWidth="1"/>
    <col min="12562" max="12563" width="10.109375" style="253" bestFit="1" customWidth="1"/>
    <col min="12564" max="12803" width="9.109375" style="253"/>
    <col min="12804" max="12804" width="5.5546875" style="253" bestFit="1" customWidth="1"/>
    <col min="12805" max="12806" width="3.5546875" style="253" bestFit="1" customWidth="1"/>
    <col min="12807" max="12807" width="5.5546875" style="253" bestFit="1" customWidth="1"/>
    <col min="12808" max="12808" width="10.109375" style="253" bestFit="1" customWidth="1"/>
    <col min="12809" max="12814" width="9.109375" style="253"/>
    <col min="12815" max="12815" width="10.109375" style="253" bestFit="1" customWidth="1"/>
    <col min="12816" max="12817" width="10.109375" style="253" customWidth="1"/>
    <col min="12818" max="12819" width="10.109375" style="253" bestFit="1" customWidth="1"/>
    <col min="12820" max="13059" width="9.109375" style="253"/>
    <col min="13060" max="13060" width="5.5546875" style="253" bestFit="1" customWidth="1"/>
    <col min="13061" max="13062" width="3.5546875" style="253" bestFit="1" customWidth="1"/>
    <col min="13063" max="13063" width="5.5546875" style="253" bestFit="1" customWidth="1"/>
    <col min="13064" max="13064" width="10.109375" style="253" bestFit="1" customWidth="1"/>
    <col min="13065" max="13070" width="9.109375" style="253"/>
    <col min="13071" max="13071" width="10.109375" style="253" bestFit="1" customWidth="1"/>
    <col min="13072" max="13073" width="10.109375" style="253" customWidth="1"/>
    <col min="13074" max="13075" width="10.109375" style="253" bestFit="1" customWidth="1"/>
    <col min="13076" max="13315" width="9.109375" style="253"/>
    <col min="13316" max="13316" width="5.5546875" style="253" bestFit="1" customWidth="1"/>
    <col min="13317" max="13318" width="3.5546875" style="253" bestFit="1" customWidth="1"/>
    <col min="13319" max="13319" width="5.5546875" style="253" bestFit="1" customWidth="1"/>
    <col min="13320" max="13320" width="10.109375" style="253" bestFit="1" customWidth="1"/>
    <col min="13321" max="13326" width="9.109375" style="253"/>
    <col min="13327" max="13327" width="10.109375" style="253" bestFit="1" customWidth="1"/>
    <col min="13328" max="13329" width="10.109375" style="253" customWidth="1"/>
    <col min="13330" max="13331" width="10.109375" style="253" bestFit="1" customWidth="1"/>
    <col min="13332" max="13571" width="9.109375" style="253"/>
    <col min="13572" max="13572" width="5.5546875" style="253" bestFit="1" customWidth="1"/>
    <col min="13573" max="13574" width="3.5546875" style="253" bestFit="1" customWidth="1"/>
    <col min="13575" max="13575" width="5.5546875" style="253" bestFit="1" customWidth="1"/>
    <col min="13576" max="13576" width="10.109375" style="253" bestFit="1" customWidth="1"/>
    <col min="13577" max="13582" width="9.109375" style="253"/>
    <col min="13583" max="13583" width="10.109375" style="253" bestFit="1" customWidth="1"/>
    <col min="13584" max="13585" width="10.109375" style="253" customWidth="1"/>
    <col min="13586" max="13587" width="10.109375" style="253" bestFit="1" customWidth="1"/>
    <col min="13588" max="13827" width="9.109375" style="253"/>
    <col min="13828" max="13828" width="5.5546875" style="253" bestFit="1" customWidth="1"/>
    <col min="13829" max="13830" width="3.5546875" style="253" bestFit="1" customWidth="1"/>
    <col min="13831" max="13831" width="5.5546875" style="253" bestFit="1" customWidth="1"/>
    <col min="13832" max="13832" width="10.109375" style="253" bestFit="1" customWidth="1"/>
    <col min="13833" max="13838" width="9.109375" style="253"/>
    <col min="13839" max="13839" width="10.109375" style="253" bestFit="1" customWidth="1"/>
    <col min="13840" max="13841" width="10.109375" style="253" customWidth="1"/>
    <col min="13842" max="13843" width="10.109375" style="253" bestFit="1" customWidth="1"/>
    <col min="13844" max="14083" width="9.109375" style="253"/>
    <col min="14084" max="14084" width="5.5546875" style="253" bestFit="1" customWidth="1"/>
    <col min="14085" max="14086" width="3.5546875" style="253" bestFit="1" customWidth="1"/>
    <col min="14087" max="14087" width="5.5546875" style="253" bestFit="1" customWidth="1"/>
    <col min="14088" max="14088" width="10.109375" style="253" bestFit="1" customWidth="1"/>
    <col min="14089" max="14094" width="9.109375" style="253"/>
    <col min="14095" max="14095" width="10.109375" style="253" bestFit="1" customWidth="1"/>
    <col min="14096" max="14097" width="10.109375" style="253" customWidth="1"/>
    <col min="14098" max="14099" width="10.109375" style="253" bestFit="1" customWidth="1"/>
    <col min="14100" max="14339" width="9.109375" style="253"/>
    <col min="14340" max="14340" width="5.5546875" style="253" bestFit="1" customWidth="1"/>
    <col min="14341" max="14342" width="3.5546875" style="253" bestFit="1" customWidth="1"/>
    <col min="14343" max="14343" width="5.5546875" style="253" bestFit="1" customWidth="1"/>
    <col min="14344" max="14344" width="10.109375" style="253" bestFit="1" customWidth="1"/>
    <col min="14345" max="14350" width="9.109375" style="253"/>
    <col min="14351" max="14351" width="10.109375" style="253" bestFit="1" customWidth="1"/>
    <col min="14352" max="14353" width="10.109375" style="253" customWidth="1"/>
    <col min="14354" max="14355" width="10.109375" style="253" bestFit="1" customWidth="1"/>
    <col min="14356" max="14595" width="9.109375" style="253"/>
    <col min="14596" max="14596" width="5.5546875" style="253" bestFit="1" customWidth="1"/>
    <col min="14597" max="14598" width="3.5546875" style="253" bestFit="1" customWidth="1"/>
    <col min="14599" max="14599" width="5.5546875" style="253" bestFit="1" customWidth="1"/>
    <col min="14600" max="14600" width="10.109375" style="253" bestFit="1" customWidth="1"/>
    <col min="14601" max="14606" width="9.109375" style="253"/>
    <col min="14607" max="14607" width="10.109375" style="253" bestFit="1" customWidth="1"/>
    <col min="14608" max="14609" width="10.109375" style="253" customWidth="1"/>
    <col min="14610" max="14611" width="10.109375" style="253" bestFit="1" customWidth="1"/>
    <col min="14612" max="14851" width="9.109375" style="253"/>
    <col min="14852" max="14852" width="5.5546875" style="253" bestFit="1" customWidth="1"/>
    <col min="14853" max="14854" width="3.5546875" style="253" bestFit="1" customWidth="1"/>
    <col min="14855" max="14855" width="5.5546875" style="253" bestFit="1" customWidth="1"/>
    <col min="14856" max="14856" width="10.109375" style="253" bestFit="1" customWidth="1"/>
    <col min="14857" max="14862" width="9.109375" style="253"/>
    <col min="14863" max="14863" width="10.109375" style="253" bestFit="1" customWidth="1"/>
    <col min="14864" max="14865" width="10.109375" style="253" customWidth="1"/>
    <col min="14866" max="14867" width="10.109375" style="253" bestFit="1" customWidth="1"/>
    <col min="14868" max="15107" width="9.109375" style="253"/>
    <col min="15108" max="15108" width="5.5546875" style="253" bestFit="1" customWidth="1"/>
    <col min="15109" max="15110" width="3.5546875" style="253" bestFit="1" customWidth="1"/>
    <col min="15111" max="15111" width="5.5546875" style="253" bestFit="1" customWidth="1"/>
    <col min="15112" max="15112" width="10.109375" style="253" bestFit="1" customWidth="1"/>
    <col min="15113" max="15118" width="9.109375" style="253"/>
    <col min="15119" max="15119" width="10.109375" style="253" bestFit="1" customWidth="1"/>
    <col min="15120" max="15121" width="10.109375" style="253" customWidth="1"/>
    <col min="15122" max="15123" width="10.109375" style="253" bestFit="1" customWidth="1"/>
    <col min="15124" max="15363" width="9.109375" style="253"/>
    <col min="15364" max="15364" width="5.5546875" style="253" bestFit="1" customWidth="1"/>
    <col min="15365" max="15366" width="3.5546875" style="253" bestFit="1" customWidth="1"/>
    <col min="15367" max="15367" width="5.5546875" style="253" bestFit="1" customWidth="1"/>
    <col min="15368" max="15368" width="10.109375" style="253" bestFit="1" customWidth="1"/>
    <col min="15369" max="15374" width="9.109375" style="253"/>
    <col min="15375" max="15375" width="10.109375" style="253" bestFit="1" customWidth="1"/>
    <col min="15376" max="15377" width="10.109375" style="253" customWidth="1"/>
    <col min="15378" max="15379" width="10.109375" style="253" bestFit="1" customWidth="1"/>
    <col min="15380" max="15619" width="9.109375" style="253"/>
    <col min="15620" max="15620" width="5.5546875" style="253" bestFit="1" customWidth="1"/>
    <col min="15621" max="15622" width="3.5546875" style="253" bestFit="1" customWidth="1"/>
    <col min="15623" max="15623" width="5.5546875" style="253" bestFit="1" customWidth="1"/>
    <col min="15624" max="15624" width="10.109375" style="253" bestFit="1" customWidth="1"/>
    <col min="15625" max="15630" width="9.109375" style="253"/>
    <col min="15631" max="15631" width="10.109375" style="253" bestFit="1" customWidth="1"/>
    <col min="15632" max="15633" width="10.109375" style="253" customWidth="1"/>
    <col min="15634" max="15635" width="10.109375" style="253" bestFit="1" customWidth="1"/>
    <col min="15636" max="15875" width="9.109375" style="253"/>
    <col min="15876" max="15876" width="5.5546875" style="253" bestFit="1" customWidth="1"/>
    <col min="15877" max="15878" width="3.5546875" style="253" bestFit="1" customWidth="1"/>
    <col min="15879" max="15879" width="5.5546875" style="253" bestFit="1" customWidth="1"/>
    <col min="15880" max="15880" width="10.109375" style="253" bestFit="1" customWidth="1"/>
    <col min="15881" max="15886" width="9.109375" style="253"/>
    <col min="15887" max="15887" width="10.109375" style="253" bestFit="1" customWidth="1"/>
    <col min="15888" max="15889" width="10.109375" style="253" customWidth="1"/>
    <col min="15890" max="15891" width="10.109375" style="253" bestFit="1" customWidth="1"/>
    <col min="15892" max="16131" width="9.109375" style="253"/>
    <col min="16132" max="16132" width="5.5546875" style="253" bestFit="1" customWidth="1"/>
    <col min="16133" max="16134" width="3.5546875" style="253" bestFit="1" customWidth="1"/>
    <col min="16135" max="16135" width="5.5546875" style="253" bestFit="1" customWidth="1"/>
    <col min="16136" max="16136" width="10.109375" style="253" bestFit="1" customWidth="1"/>
    <col min="16137" max="16142" width="9.109375" style="253"/>
    <col min="16143" max="16143" width="10.109375" style="253" bestFit="1" customWidth="1"/>
    <col min="16144" max="16145" width="10.109375" style="253" customWidth="1"/>
    <col min="16146" max="16147" width="10.109375" style="253" bestFit="1" customWidth="1"/>
    <col min="16148" max="16384" width="9.109375" style="253"/>
  </cols>
  <sheetData>
    <row r="3" spans="1:21">
      <c r="A3" s="431" t="s">
        <v>0</v>
      </c>
      <c r="B3" s="431"/>
      <c r="C3" s="431"/>
      <c r="D3" s="431"/>
      <c r="E3" s="431"/>
      <c r="F3" s="431"/>
      <c r="G3" s="431"/>
      <c r="H3" s="431"/>
      <c r="I3" s="431"/>
      <c r="J3" s="431"/>
      <c r="K3" s="431"/>
      <c r="L3" s="431"/>
      <c r="M3" s="431"/>
      <c r="N3" s="431"/>
      <c r="O3" s="431"/>
      <c r="P3" s="251"/>
      <c r="Q3" s="251"/>
    </row>
    <row r="4" spans="1:21">
      <c r="A4" s="431" t="s">
        <v>653</v>
      </c>
      <c r="B4" s="431"/>
      <c r="C4" s="431"/>
      <c r="D4" s="431"/>
      <c r="E4" s="431"/>
      <c r="F4" s="431"/>
      <c r="G4" s="431"/>
      <c r="H4" s="431"/>
      <c r="I4" s="431"/>
      <c r="J4" s="431"/>
      <c r="K4" s="431"/>
      <c r="L4" s="431"/>
      <c r="M4" s="431"/>
      <c r="N4" s="431"/>
      <c r="O4" s="431"/>
      <c r="P4" s="251"/>
      <c r="Q4" s="251"/>
      <c r="R4" s="254"/>
      <c r="S4" s="254"/>
      <c r="T4" s="254"/>
      <c r="U4" s="254"/>
    </row>
    <row r="5" spans="1:21">
      <c r="A5" s="431" t="s">
        <v>593</v>
      </c>
      <c r="B5" s="431"/>
      <c r="C5" s="431"/>
      <c r="D5" s="431"/>
      <c r="E5" s="431"/>
      <c r="F5" s="431"/>
      <c r="G5" s="431"/>
      <c r="H5" s="431"/>
      <c r="I5" s="431"/>
      <c r="J5" s="431"/>
      <c r="K5" s="431"/>
      <c r="L5" s="431"/>
      <c r="M5" s="431"/>
      <c r="N5" s="431"/>
      <c r="O5" s="431"/>
      <c r="P5" s="251"/>
      <c r="Q5" s="251"/>
    </row>
    <row r="7" spans="1:21" ht="159" customHeight="1">
      <c r="B7" s="212" t="s">
        <v>21</v>
      </c>
      <c r="C7" s="212" t="s">
        <v>22</v>
      </c>
      <c r="D7" s="212" t="s">
        <v>23</v>
      </c>
      <c r="E7" s="212" t="s">
        <v>24</v>
      </c>
      <c r="F7" s="213" t="s">
        <v>25</v>
      </c>
      <c r="G7" s="255" t="s">
        <v>26</v>
      </c>
      <c r="H7" s="256" t="s">
        <v>27</v>
      </c>
      <c r="I7" s="256" t="s">
        <v>28</v>
      </c>
      <c r="J7" s="256" t="s">
        <v>29</v>
      </c>
      <c r="K7" s="256" t="s">
        <v>30</v>
      </c>
      <c r="L7" s="257" t="s">
        <v>654</v>
      </c>
      <c r="M7" s="258" t="s">
        <v>688</v>
      </c>
      <c r="N7" s="374" t="s">
        <v>730</v>
      </c>
      <c r="O7" s="405" t="s">
        <v>731</v>
      </c>
      <c r="P7" s="258"/>
      <c r="Q7" s="258"/>
      <c r="R7" s="259"/>
      <c r="S7" s="259"/>
      <c r="T7" s="259"/>
      <c r="U7" s="259"/>
    </row>
    <row r="8" spans="1:21" ht="26.4">
      <c r="A8" s="214" t="s">
        <v>663</v>
      </c>
      <c r="B8" s="260"/>
      <c r="C8" s="260"/>
      <c r="D8" s="260"/>
      <c r="E8" s="260"/>
      <c r="F8" s="215" t="s">
        <v>31</v>
      </c>
      <c r="G8" s="215" t="s">
        <v>664</v>
      </c>
      <c r="H8" s="215" t="s">
        <v>665</v>
      </c>
      <c r="I8" s="215" t="s">
        <v>666</v>
      </c>
      <c r="J8" s="215" t="s">
        <v>623</v>
      </c>
      <c r="K8" s="215" t="s">
        <v>667</v>
      </c>
      <c r="L8" s="215" t="s">
        <v>668</v>
      </c>
      <c r="M8" s="261" t="s">
        <v>655</v>
      </c>
      <c r="N8" s="215"/>
      <c r="O8" s="406"/>
      <c r="P8" s="261"/>
      <c r="Q8" s="261"/>
      <c r="R8" s="259"/>
      <c r="S8" s="259"/>
      <c r="T8" s="259"/>
      <c r="U8" s="259"/>
    </row>
    <row r="9" spans="1:21">
      <c r="B9" s="216">
        <v>2013</v>
      </c>
      <c r="C9" s="216">
        <v>1</v>
      </c>
      <c r="D9" s="216">
        <v>14</v>
      </c>
      <c r="E9" s="216">
        <v>1900</v>
      </c>
      <c r="F9" s="11">
        <v>2798976</v>
      </c>
      <c r="G9" s="11">
        <v>410325</v>
      </c>
      <c r="H9" s="11">
        <v>8417</v>
      </c>
      <c r="I9" s="11">
        <v>4467</v>
      </c>
      <c r="J9" s="11">
        <v>4475</v>
      </c>
      <c r="K9" s="11">
        <v>72270</v>
      </c>
      <c r="L9" s="11">
        <v>62825</v>
      </c>
      <c r="M9" s="262">
        <f t="shared" ref="M9:M20" si="0">SUM(F9:L9)</f>
        <v>3361755</v>
      </c>
      <c r="N9" s="407">
        <f>+'WP 10a'!N9</f>
        <v>428419.70586322516</v>
      </c>
      <c r="O9" s="408">
        <f>SUM(M9:N9)</f>
        <v>3790174.7058632253</v>
      </c>
      <c r="P9" s="262"/>
      <c r="Q9" s="262"/>
      <c r="S9" s="263"/>
      <c r="U9" s="263"/>
    </row>
    <row r="10" spans="1:21">
      <c r="B10" s="216">
        <v>2013</v>
      </c>
      <c r="C10" s="216">
        <v>2</v>
      </c>
      <c r="D10" s="216">
        <v>14</v>
      </c>
      <c r="E10" s="216">
        <v>800</v>
      </c>
      <c r="F10" s="11">
        <v>2598521</v>
      </c>
      <c r="G10" s="11">
        <v>389741</v>
      </c>
      <c r="H10" s="11">
        <v>7638</v>
      </c>
      <c r="I10" s="11">
        <v>3748</v>
      </c>
      <c r="J10" s="11">
        <v>4231</v>
      </c>
      <c r="K10" s="11">
        <v>72326</v>
      </c>
      <c r="L10" s="11">
        <v>53442</v>
      </c>
      <c r="M10" s="262">
        <f t="shared" si="0"/>
        <v>3129647</v>
      </c>
      <c r="N10" s="407">
        <f>+'WP 10a'!N10</f>
        <v>428419.70586322516</v>
      </c>
      <c r="O10" s="408">
        <f t="shared" ref="O10:O20" si="1">SUM(M10:N10)</f>
        <v>3558066.7058632253</v>
      </c>
      <c r="P10" s="262"/>
      <c r="Q10" s="262"/>
      <c r="S10" s="263"/>
      <c r="U10" s="263"/>
    </row>
    <row r="11" spans="1:21">
      <c r="B11" s="216">
        <v>2013</v>
      </c>
      <c r="C11" s="216">
        <v>3</v>
      </c>
      <c r="D11" s="216">
        <v>27</v>
      </c>
      <c r="E11" s="216">
        <v>800</v>
      </c>
      <c r="F11" s="11">
        <v>2580362</v>
      </c>
      <c r="G11" s="11">
        <v>382430</v>
      </c>
      <c r="H11" s="11">
        <v>7861</v>
      </c>
      <c r="I11" s="11">
        <v>3477</v>
      </c>
      <c r="J11" s="11">
        <v>4121</v>
      </c>
      <c r="K11" s="11">
        <v>68187</v>
      </c>
      <c r="L11" s="11">
        <v>51297</v>
      </c>
      <c r="M11" s="262">
        <f t="shared" si="0"/>
        <v>3097735</v>
      </c>
      <c r="N11" s="407">
        <f>+'WP 10a'!N11</f>
        <v>428419.70586322516</v>
      </c>
      <c r="O11" s="408">
        <f t="shared" si="1"/>
        <v>3526154.7058632253</v>
      </c>
      <c r="P11" s="262"/>
      <c r="Q11" s="262"/>
      <c r="S11" s="263"/>
      <c r="U11" s="263"/>
    </row>
    <row r="12" spans="1:21">
      <c r="B12" s="216">
        <v>2013</v>
      </c>
      <c r="C12" s="216">
        <v>4</v>
      </c>
      <c r="D12" s="216">
        <v>17</v>
      </c>
      <c r="E12" s="216">
        <v>1700</v>
      </c>
      <c r="F12" s="11">
        <v>2062464</v>
      </c>
      <c r="G12" s="11">
        <v>227513</v>
      </c>
      <c r="H12" s="11">
        <v>8705</v>
      </c>
      <c r="I12" s="11">
        <v>2832</v>
      </c>
      <c r="J12" s="11">
        <v>3078</v>
      </c>
      <c r="K12" s="11">
        <v>49923</v>
      </c>
      <c r="L12" s="11">
        <v>56255</v>
      </c>
      <c r="M12" s="262">
        <f t="shared" si="0"/>
        <v>2410770</v>
      </c>
      <c r="N12" s="407">
        <f>+'WP 10a'!N12</f>
        <v>431681.37092499319</v>
      </c>
      <c r="O12" s="408">
        <f t="shared" si="1"/>
        <v>2842451.3709249934</v>
      </c>
      <c r="P12" s="262"/>
      <c r="Q12" s="262"/>
      <c r="S12" s="263"/>
      <c r="U12" s="263"/>
    </row>
    <row r="13" spans="1:21">
      <c r="B13" s="216">
        <v>2013</v>
      </c>
      <c r="C13" s="216">
        <v>5</v>
      </c>
      <c r="D13" s="216">
        <v>20</v>
      </c>
      <c r="E13" s="216">
        <v>1600</v>
      </c>
      <c r="F13" s="11">
        <v>2804193</v>
      </c>
      <c r="G13" s="11">
        <v>304243</v>
      </c>
      <c r="H13" s="11">
        <v>11189</v>
      </c>
      <c r="I13" s="11">
        <v>3677</v>
      </c>
      <c r="J13" s="11">
        <v>4398</v>
      </c>
      <c r="K13" s="11">
        <v>70459</v>
      </c>
      <c r="L13" s="11">
        <v>71949</v>
      </c>
      <c r="M13" s="262">
        <f t="shared" si="0"/>
        <v>3270108</v>
      </c>
      <c r="N13" s="407">
        <f>+'WP 10a'!N13</f>
        <v>431681.37092499319</v>
      </c>
      <c r="O13" s="408">
        <f t="shared" si="1"/>
        <v>3701789.3709249934</v>
      </c>
      <c r="P13" s="262"/>
      <c r="Q13" s="262"/>
      <c r="S13" s="263"/>
      <c r="U13" s="263"/>
    </row>
    <row r="14" spans="1:21">
      <c r="B14" s="216">
        <v>2013</v>
      </c>
      <c r="C14" s="216">
        <v>6</v>
      </c>
      <c r="D14" s="216">
        <v>27</v>
      </c>
      <c r="E14" s="216">
        <v>1700</v>
      </c>
      <c r="F14" s="11">
        <v>3493318</v>
      </c>
      <c r="G14" s="11">
        <v>406341</v>
      </c>
      <c r="H14" s="11">
        <v>13349</v>
      </c>
      <c r="I14" s="11">
        <v>4368</v>
      </c>
      <c r="J14" s="11">
        <v>5025</v>
      </c>
      <c r="K14" s="11">
        <v>93586</v>
      </c>
      <c r="L14" s="11">
        <v>85396</v>
      </c>
      <c r="M14" s="262">
        <f t="shared" si="0"/>
        <v>4101383</v>
      </c>
      <c r="N14" s="407">
        <f>+'WP 10a'!N14</f>
        <v>422548.70875204279</v>
      </c>
      <c r="O14" s="408">
        <f t="shared" si="1"/>
        <v>4523931.7087520426</v>
      </c>
      <c r="P14" s="262"/>
      <c r="Q14" s="262"/>
      <c r="S14" s="263"/>
      <c r="U14" s="263"/>
    </row>
    <row r="15" spans="1:21">
      <c r="B15" s="216">
        <v>2013</v>
      </c>
      <c r="C15" s="216">
        <v>7</v>
      </c>
      <c r="D15" s="216">
        <v>10</v>
      </c>
      <c r="E15" s="216">
        <v>1600</v>
      </c>
      <c r="F15" s="11">
        <v>3378847</v>
      </c>
      <c r="G15" s="11">
        <v>399685</v>
      </c>
      <c r="H15" s="11">
        <v>13534</v>
      </c>
      <c r="I15" s="11">
        <v>4571</v>
      </c>
      <c r="J15" s="11">
        <v>4161</v>
      </c>
      <c r="K15" s="11">
        <v>91141</v>
      </c>
      <c r="L15" s="11">
        <v>73166</v>
      </c>
      <c r="M15" s="262">
        <f t="shared" si="0"/>
        <v>3965105</v>
      </c>
      <c r="N15" s="407">
        <f>+'WP 10a'!N15</f>
        <v>422548.70875204279</v>
      </c>
      <c r="O15" s="408">
        <f t="shared" si="1"/>
        <v>4387653.7087520426</v>
      </c>
      <c r="P15" s="262"/>
      <c r="Q15" s="262"/>
      <c r="S15" s="263"/>
      <c r="U15" s="263"/>
    </row>
    <row r="16" spans="1:21">
      <c r="B16" s="216">
        <v>2013</v>
      </c>
      <c r="C16" s="216">
        <v>8</v>
      </c>
      <c r="D16" s="216">
        <v>8</v>
      </c>
      <c r="E16" s="216">
        <v>1700</v>
      </c>
      <c r="F16" s="11">
        <v>3639766</v>
      </c>
      <c r="G16" s="11">
        <v>424789</v>
      </c>
      <c r="H16" s="11">
        <v>13655</v>
      </c>
      <c r="I16" s="11">
        <v>4161</v>
      </c>
      <c r="J16" s="11">
        <v>5156</v>
      </c>
      <c r="K16" s="11">
        <v>99744</v>
      </c>
      <c r="L16" s="11">
        <v>84872</v>
      </c>
      <c r="M16" s="262">
        <f t="shared" si="0"/>
        <v>4272143</v>
      </c>
      <c r="N16" s="407">
        <f>+'WP 10a'!N16</f>
        <v>422548.70875204279</v>
      </c>
      <c r="O16" s="408">
        <f t="shared" si="1"/>
        <v>4694691.7087520426</v>
      </c>
      <c r="P16" s="262"/>
      <c r="Q16" s="262"/>
      <c r="S16" s="263"/>
      <c r="U16" s="263"/>
    </row>
    <row r="17" spans="1:26">
      <c r="B17" s="216">
        <v>2013</v>
      </c>
      <c r="C17" s="216">
        <v>9</v>
      </c>
      <c r="D17" s="216">
        <v>3</v>
      </c>
      <c r="E17" s="216">
        <v>1600</v>
      </c>
      <c r="F17" s="11">
        <v>3295517</v>
      </c>
      <c r="G17" s="11">
        <v>368166</v>
      </c>
      <c r="H17" s="11">
        <v>13404</v>
      </c>
      <c r="I17" s="11">
        <v>4161</v>
      </c>
      <c r="J17" s="11">
        <v>4119</v>
      </c>
      <c r="K17" s="11">
        <v>91511</v>
      </c>
      <c r="L17" s="11">
        <v>80716</v>
      </c>
      <c r="M17" s="262">
        <f t="shared" si="0"/>
        <v>3857594</v>
      </c>
      <c r="N17" s="407">
        <f>+'WP 10a'!N17</f>
        <v>422548.70875204279</v>
      </c>
      <c r="O17" s="408">
        <f t="shared" si="1"/>
        <v>4280142.7087520426</v>
      </c>
      <c r="P17" s="262"/>
      <c r="Q17" s="262"/>
      <c r="S17" s="263"/>
      <c r="U17" s="263"/>
    </row>
    <row r="18" spans="1:26">
      <c r="B18" s="216">
        <v>2013</v>
      </c>
      <c r="C18" s="216">
        <v>10</v>
      </c>
      <c r="D18" s="216">
        <v>3</v>
      </c>
      <c r="E18" s="216">
        <v>1600</v>
      </c>
      <c r="F18" s="11">
        <v>2894652</v>
      </c>
      <c r="G18" s="11">
        <v>303566</v>
      </c>
      <c r="H18" s="11">
        <v>11550</v>
      </c>
      <c r="I18" s="11">
        <v>3372</v>
      </c>
      <c r="J18" s="11">
        <v>4003</v>
      </c>
      <c r="K18" s="11">
        <v>72102</v>
      </c>
      <c r="L18" s="11">
        <v>72029</v>
      </c>
      <c r="M18" s="262">
        <f t="shared" si="0"/>
        <v>3361274</v>
      </c>
      <c r="N18" s="407">
        <f>+'WP 10a'!N18</f>
        <v>422548.70875204279</v>
      </c>
      <c r="O18" s="408">
        <f t="shared" si="1"/>
        <v>3783822.7087520426</v>
      </c>
      <c r="P18" s="262"/>
      <c r="Q18" s="262"/>
      <c r="S18" s="263"/>
      <c r="U18" s="263"/>
    </row>
    <row r="19" spans="1:26">
      <c r="B19" s="216">
        <v>2013</v>
      </c>
      <c r="C19" s="216">
        <v>11</v>
      </c>
      <c r="D19" s="216">
        <v>28</v>
      </c>
      <c r="E19" s="216">
        <v>900</v>
      </c>
      <c r="F19" s="11">
        <v>2667590</v>
      </c>
      <c r="G19" s="11">
        <v>460614</v>
      </c>
      <c r="H19" s="11">
        <v>7954</v>
      </c>
      <c r="I19" s="11">
        <v>4161</v>
      </c>
      <c r="J19" s="11">
        <v>4665</v>
      </c>
      <c r="K19" s="11">
        <v>84014</v>
      </c>
      <c r="L19" s="11">
        <v>48821</v>
      </c>
      <c r="M19" s="262">
        <f t="shared" si="0"/>
        <v>3277819</v>
      </c>
      <c r="N19" s="407">
        <f>+'WP 10a'!N19</f>
        <v>422548.70875204279</v>
      </c>
      <c r="O19" s="408">
        <f t="shared" si="1"/>
        <v>3700367.7087520426</v>
      </c>
      <c r="P19" s="262"/>
      <c r="Q19" s="262"/>
      <c r="S19" s="263"/>
      <c r="U19" s="263"/>
    </row>
    <row r="20" spans="1:26">
      <c r="B20" s="216">
        <v>2013</v>
      </c>
      <c r="C20" s="216">
        <v>12</v>
      </c>
      <c r="D20" s="216">
        <v>16</v>
      </c>
      <c r="E20" s="216">
        <v>800</v>
      </c>
      <c r="F20" s="217">
        <v>3030136</v>
      </c>
      <c r="G20" s="217">
        <v>463875</v>
      </c>
      <c r="H20" s="217">
        <v>9133</v>
      </c>
      <c r="I20" s="217">
        <v>4161</v>
      </c>
      <c r="J20" s="217">
        <v>4961</v>
      </c>
      <c r="K20" s="217">
        <v>90275</v>
      </c>
      <c r="L20" s="217">
        <v>66321</v>
      </c>
      <c r="M20" s="264">
        <f t="shared" si="0"/>
        <v>3668862</v>
      </c>
      <c r="N20" s="409">
        <f>+'WP 10a'!N20</f>
        <v>422548.70875204279</v>
      </c>
      <c r="O20" s="410">
        <f t="shared" si="1"/>
        <v>4091410.7087520426</v>
      </c>
      <c r="P20" s="265"/>
      <c r="Q20" s="265"/>
      <c r="S20" s="263"/>
      <c r="U20" s="263"/>
    </row>
    <row r="21" spans="1:26" ht="9" customHeight="1">
      <c r="N21" s="191"/>
    </row>
    <row r="22" spans="1:26" ht="15" thickBot="1">
      <c r="E22" s="266" t="s">
        <v>20</v>
      </c>
      <c r="F22" s="267">
        <f>SUM(F9:F20)</f>
        <v>35244342</v>
      </c>
      <c r="G22" s="267">
        <f t="shared" ref="G22:M22" si="2">SUM(G9:G20)</f>
        <v>4541288</v>
      </c>
      <c r="H22" s="267">
        <f t="shared" si="2"/>
        <v>126389</v>
      </c>
      <c r="I22" s="267">
        <f t="shared" si="2"/>
        <v>47156</v>
      </c>
      <c r="J22" s="267">
        <f t="shared" si="2"/>
        <v>52393</v>
      </c>
      <c r="K22" s="267">
        <f t="shared" si="2"/>
        <v>955538</v>
      </c>
      <c r="L22" s="267">
        <f t="shared" si="2"/>
        <v>807089</v>
      </c>
      <c r="M22" s="267">
        <f t="shared" si="2"/>
        <v>41774195</v>
      </c>
      <c r="N22" s="411">
        <f t="shared" ref="N22:O22" si="3">SUM(N9:N20)</f>
        <v>5106462.82070396</v>
      </c>
      <c r="O22" s="411">
        <f t="shared" si="3"/>
        <v>46880657.820703968</v>
      </c>
      <c r="P22" s="265"/>
      <c r="Q22" s="265"/>
      <c r="R22" s="263"/>
      <c r="S22" s="263"/>
    </row>
    <row r="23" spans="1:26" ht="14.4" thickTop="1" thickBot="1">
      <c r="N23" s="412"/>
      <c r="O23" s="412"/>
    </row>
    <row r="24" spans="1:26" ht="13.8" thickBot="1">
      <c r="E24" s="266" t="s">
        <v>656</v>
      </c>
      <c r="F24" s="268">
        <f>SUM(F9:F20)/12</f>
        <v>2937028.5</v>
      </c>
      <c r="G24" s="268">
        <f t="shared" ref="G24:M24" si="4">SUM(G9:G20)/12</f>
        <v>378440.66666666669</v>
      </c>
      <c r="H24" s="268">
        <f t="shared" si="4"/>
        <v>10532.416666666666</v>
      </c>
      <c r="I24" s="268">
        <f t="shared" si="4"/>
        <v>3929.6666666666665</v>
      </c>
      <c r="J24" s="268">
        <f t="shared" si="4"/>
        <v>4366.083333333333</v>
      </c>
      <c r="K24" s="268">
        <f t="shared" si="4"/>
        <v>79628.166666666672</v>
      </c>
      <c r="L24" s="268">
        <f t="shared" si="4"/>
        <v>67257.416666666672</v>
      </c>
      <c r="M24" s="269">
        <f t="shared" si="4"/>
        <v>3481182.9166666665</v>
      </c>
      <c r="N24" s="412"/>
      <c r="O24" s="412"/>
      <c r="P24" s="268"/>
      <c r="Q24" s="268"/>
      <c r="R24" s="268"/>
      <c r="S24" s="270"/>
      <c r="T24" s="268"/>
      <c r="U24" s="268"/>
      <c r="V24" s="271"/>
      <c r="W24" s="271"/>
      <c r="X24" s="252"/>
      <c r="Y24" s="271"/>
      <c r="Z24" s="252"/>
    </row>
    <row r="25" spans="1:26">
      <c r="N25" s="412"/>
      <c r="O25" s="412"/>
    </row>
    <row r="26" spans="1:26" s="370" customFormat="1">
      <c r="A26" s="403" t="s">
        <v>701</v>
      </c>
      <c r="E26" s="414"/>
      <c r="F26" s="413"/>
      <c r="G26" s="413"/>
      <c r="H26" s="413"/>
      <c r="I26" s="413"/>
      <c r="J26" s="413"/>
      <c r="K26" s="413"/>
      <c r="L26" s="413"/>
      <c r="M26" s="413"/>
      <c r="N26" s="413"/>
      <c r="O26" s="413"/>
      <c r="P26" s="413"/>
      <c r="Q26" s="413"/>
      <c r="R26" s="413"/>
      <c r="S26" s="413"/>
      <c r="T26" s="413"/>
      <c r="U26" s="413"/>
      <c r="W26" s="382"/>
    </row>
    <row r="27" spans="1:26" s="371" customFormat="1">
      <c r="A27" s="404" t="s">
        <v>12</v>
      </c>
      <c r="B27" s="371" t="s">
        <v>728</v>
      </c>
      <c r="V27" s="370"/>
      <c r="W27" s="370"/>
      <c r="X27" s="370"/>
      <c r="Y27" s="370"/>
      <c r="Z27" s="370"/>
    </row>
    <row r="28" spans="1:26" s="371" customFormat="1">
      <c r="A28" s="404" t="s">
        <v>139</v>
      </c>
      <c r="B28" s="371" t="s">
        <v>729</v>
      </c>
      <c r="V28" s="370"/>
      <c r="W28" s="370"/>
      <c r="X28" s="370"/>
      <c r="Y28" s="370"/>
      <c r="Z28" s="370"/>
    </row>
  </sheetData>
  <mergeCells count="3">
    <mergeCell ref="A3:O3"/>
    <mergeCell ref="A4:O4"/>
    <mergeCell ref="A5:O5"/>
  </mergeCells>
  <printOptions horizontalCentered="1"/>
  <pageMargins left="0.7" right="0.7" top="0.75" bottom="0.75" header="0.3" footer="0.3"/>
  <pageSetup scale="92" orientation="landscape" r:id="rId1"/>
  <headerFoot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34"/>
  <sheetViews>
    <sheetView workbookViewId="0"/>
  </sheetViews>
  <sheetFormatPr defaultRowHeight="13.2"/>
  <cols>
    <col min="1" max="1" width="7.33203125" style="371" bestFit="1" customWidth="1"/>
    <col min="2" max="2" width="5" style="371" bestFit="1" customWidth="1"/>
    <col min="3" max="4" width="3.33203125" style="371" bestFit="1" customWidth="1"/>
    <col min="5" max="5" width="5" style="371" bestFit="1" customWidth="1"/>
    <col min="6" max="6" width="9" style="371" customWidth="1"/>
    <col min="7" max="7" width="11.88671875" style="371" bestFit="1" customWidth="1"/>
    <col min="8" max="14" width="14.33203125" style="371" customWidth="1"/>
    <col min="15" max="16" width="11.6640625" style="370" bestFit="1" customWidth="1"/>
    <col min="17" max="17" width="8.88671875" style="370"/>
    <col min="18" max="18" width="10.33203125" style="370" bestFit="1" customWidth="1"/>
    <col min="19" max="19" width="8.88671875" style="370"/>
    <col min="20" max="251" width="8.88671875" style="371"/>
    <col min="252" max="252" width="9.5546875" style="371" bestFit="1" customWidth="1"/>
    <col min="253" max="254" width="3.5546875" style="371" bestFit="1" customWidth="1"/>
    <col min="255" max="255" width="5.5546875" style="371" bestFit="1" customWidth="1"/>
    <col min="256" max="257" width="10.6640625" style="371" bestFit="1" customWidth="1"/>
    <col min="258" max="258" width="9.6640625" style="371" bestFit="1" customWidth="1"/>
    <col min="259" max="259" width="9.6640625" style="371" customWidth="1"/>
    <col min="260" max="261" width="9.6640625" style="371" bestFit="1" customWidth="1"/>
    <col min="262" max="262" width="8.109375" style="371" bestFit="1" customWidth="1"/>
    <col min="263" max="267" width="9.33203125" style="371" bestFit="1" customWidth="1"/>
    <col min="268" max="268" width="10.6640625" style="371" bestFit="1" customWidth="1"/>
    <col min="269" max="270" width="10.6640625" style="371" customWidth="1"/>
    <col min="271" max="272" width="11.6640625" style="371" bestFit="1" customWidth="1"/>
    <col min="273" max="273" width="8.88671875" style="371"/>
    <col min="274" max="274" width="10.33203125" style="371" bestFit="1" customWidth="1"/>
    <col min="275" max="507" width="8.88671875" style="371"/>
    <col min="508" max="508" width="9.5546875" style="371" bestFit="1" customWidth="1"/>
    <col min="509" max="510" width="3.5546875" style="371" bestFit="1" customWidth="1"/>
    <col min="511" max="511" width="5.5546875" style="371" bestFit="1" customWidth="1"/>
    <col min="512" max="513" width="10.6640625" style="371" bestFit="1" customWidth="1"/>
    <col min="514" max="514" width="9.6640625" style="371" bestFit="1" customWidth="1"/>
    <col min="515" max="515" width="9.6640625" style="371" customWidth="1"/>
    <col min="516" max="517" width="9.6640625" style="371" bestFit="1" customWidth="1"/>
    <col min="518" max="518" width="8.109375" style="371" bestFit="1" customWidth="1"/>
    <col min="519" max="523" width="9.33203125" style="371" bestFit="1" customWidth="1"/>
    <col min="524" max="524" width="10.6640625" style="371" bestFit="1" customWidth="1"/>
    <col min="525" max="526" width="10.6640625" style="371" customWidth="1"/>
    <col min="527" max="528" width="11.6640625" style="371" bestFit="1" customWidth="1"/>
    <col min="529" max="529" width="8.88671875" style="371"/>
    <col min="530" max="530" width="10.33203125" style="371" bestFit="1" customWidth="1"/>
    <col min="531" max="763" width="8.88671875" style="371"/>
    <col min="764" max="764" width="9.5546875" style="371" bestFit="1" customWidth="1"/>
    <col min="765" max="766" width="3.5546875" style="371" bestFit="1" customWidth="1"/>
    <col min="767" max="767" width="5.5546875" style="371" bestFit="1" customWidth="1"/>
    <col min="768" max="769" width="10.6640625" style="371" bestFit="1" customWidth="1"/>
    <col min="770" max="770" width="9.6640625" style="371" bestFit="1" customWidth="1"/>
    <col min="771" max="771" width="9.6640625" style="371" customWidth="1"/>
    <col min="772" max="773" width="9.6640625" style="371" bestFit="1" customWidth="1"/>
    <col min="774" max="774" width="8.109375" style="371" bestFit="1" customWidth="1"/>
    <col min="775" max="779" width="9.33203125" style="371" bestFit="1" customWidth="1"/>
    <col min="780" max="780" width="10.6640625" style="371" bestFit="1" customWidth="1"/>
    <col min="781" max="782" width="10.6640625" style="371" customWidth="1"/>
    <col min="783" max="784" width="11.6640625" style="371" bestFit="1" customWidth="1"/>
    <col min="785" max="785" width="8.88671875" style="371"/>
    <col min="786" max="786" width="10.33203125" style="371" bestFit="1" customWidth="1"/>
    <col min="787" max="1019" width="8.88671875" style="371"/>
    <col min="1020" max="1020" width="9.5546875" style="371" bestFit="1" customWidth="1"/>
    <col min="1021" max="1022" width="3.5546875" style="371" bestFit="1" customWidth="1"/>
    <col min="1023" max="1023" width="5.5546875" style="371" bestFit="1" customWidth="1"/>
    <col min="1024" max="1025" width="10.6640625" style="371" bestFit="1" customWidth="1"/>
    <col min="1026" max="1026" width="9.6640625" style="371" bestFit="1" customWidth="1"/>
    <col min="1027" max="1027" width="9.6640625" style="371" customWidth="1"/>
    <col min="1028" max="1029" width="9.6640625" style="371" bestFit="1" customWidth="1"/>
    <col min="1030" max="1030" width="8.109375" style="371" bestFit="1" customWidth="1"/>
    <col min="1031" max="1035" width="9.33203125" style="371" bestFit="1" customWidth="1"/>
    <col min="1036" max="1036" width="10.6640625" style="371" bestFit="1" customWidth="1"/>
    <col min="1037" max="1038" width="10.6640625" style="371" customWidth="1"/>
    <col min="1039" max="1040" width="11.6640625" style="371" bestFit="1" customWidth="1"/>
    <col min="1041" max="1041" width="8.88671875" style="371"/>
    <col min="1042" max="1042" width="10.33203125" style="371" bestFit="1" customWidth="1"/>
    <col min="1043" max="1275" width="8.88671875" style="371"/>
    <col min="1276" max="1276" width="9.5546875" style="371" bestFit="1" customWidth="1"/>
    <col min="1277" max="1278" width="3.5546875" style="371" bestFit="1" customWidth="1"/>
    <col min="1279" max="1279" width="5.5546875" style="371" bestFit="1" customWidth="1"/>
    <col min="1280" max="1281" width="10.6640625" style="371" bestFit="1" customWidth="1"/>
    <col min="1282" max="1282" width="9.6640625" style="371" bestFit="1" customWidth="1"/>
    <col min="1283" max="1283" width="9.6640625" style="371" customWidth="1"/>
    <col min="1284" max="1285" width="9.6640625" style="371" bestFit="1" customWidth="1"/>
    <col min="1286" max="1286" width="8.109375" style="371" bestFit="1" customWidth="1"/>
    <col min="1287" max="1291" width="9.33203125" style="371" bestFit="1" customWidth="1"/>
    <col min="1292" max="1292" width="10.6640625" style="371" bestFit="1" customWidth="1"/>
    <col min="1293" max="1294" width="10.6640625" style="371" customWidth="1"/>
    <col min="1295" max="1296" width="11.6640625" style="371" bestFit="1" customWidth="1"/>
    <col min="1297" max="1297" width="8.88671875" style="371"/>
    <col min="1298" max="1298" width="10.33203125" style="371" bestFit="1" customWidth="1"/>
    <col min="1299" max="1531" width="8.88671875" style="371"/>
    <col min="1532" max="1532" width="9.5546875" style="371" bestFit="1" customWidth="1"/>
    <col min="1533" max="1534" width="3.5546875" style="371" bestFit="1" customWidth="1"/>
    <col min="1535" max="1535" width="5.5546875" style="371" bestFit="1" customWidth="1"/>
    <col min="1536" max="1537" width="10.6640625" style="371" bestFit="1" customWidth="1"/>
    <col min="1538" max="1538" width="9.6640625" style="371" bestFit="1" customWidth="1"/>
    <col min="1539" max="1539" width="9.6640625" style="371" customWidth="1"/>
    <col min="1540" max="1541" width="9.6640625" style="371" bestFit="1" customWidth="1"/>
    <col min="1542" max="1542" width="8.109375" style="371" bestFit="1" customWidth="1"/>
    <col min="1543" max="1547" width="9.33203125" style="371" bestFit="1" customWidth="1"/>
    <col min="1548" max="1548" width="10.6640625" style="371" bestFit="1" customWidth="1"/>
    <col min="1549" max="1550" width="10.6640625" style="371" customWidth="1"/>
    <col min="1551" max="1552" width="11.6640625" style="371" bestFit="1" customWidth="1"/>
    <col min="1553" max="1553" width="8.88671875" style="371"/>
    <col min="1554" max="1554" width="10.33203125" style="371" bestFit="1" customWidth="1"/>
    <col min="1555" max="1787" width="8.88671875" style="371"/>
    <col min="1788" max="1788" width="9.5546875" style="371" bestFit="1" customWidth="1"/>
    <col min="1789" max="1790" width="3.5546875" style="371" bestFit="1" customWidth="1"/>
    <col min="1791" max="1791" width="5.5546875" style="371" bestFit="1" customWidth="1"/>
    <col min="1792" max="1793" width="10.6640625" style="371" bestFit="1" customWidth="1"/>
    <col min="1794" max="1794" width="9.6640625" style="371" bestFit="1" customWidth="1"/>
    <col min="1795" max="1795" width="9.6640625" style="371" customWidth="1"/>
    <col min="1796" max="1797" width="9.6640625" style="371" bestFit="1" customWidth="1"/>
    <col min="1798" max="1798" width="8.109375" style="371" bestFit="1" customWidth="1"/>
    <col min="1799" max="1803" width="9.33203125" style="371" bestFit="1" customWidth="1"/>
    <col min="1804" max="1804" width="10.6640625" style="371" bestFit="1" customWidth="1"/>
    <col min="1805" max="1806" width="10.6640625" style="371" customWidth="1"/>
    <col min="1807" max="1808" width="11.6640625" style="371" bestFit="1" customWidth="1"/>
    <col min="1809" max="1809" width="8.88671875" style="371"/>
    <col min="1810" max="1810" width="10.33203125" style="371" bestFit="1" customWidth="1"/>
    <col min="1811" max="2043" width="8.88671875" style="371"/>
    <col min="2044" max="2044" width="9.5546875" style="371" bestFit="1" customWidth="1"/>
    <col min="2045" max="2046" width="3.5546875" style="371" bestFit="1" customWidth="1"/>
    <col min="2047" max="2047" width="5.5546875" style="371" bestFit="1" customWidth="1"/>
    <col min="2048" max="2049" width="10.6640625" style="371" bestFit="1" customWidth="1"/>
    <col min="2050" max="2050" width="9.6640625" style="371" bestFit="1" customWidth="1"/>
    <col min="2051" max="2051" width="9.6640625" style="371" customWidth="1"/>
    <col min="2052" max="2053" width="9.6640625" style="371" bestFit="1" customWidth="1"/>
    <col min="2054" max="2054" width="8.109375" style="371" bestFit="1" customWidth="1"/>
    <col min="2055" max="2059" width="9.33203125" style="371" bestFit="1" customWidth="1"/>
    <col min="2060" max="2060" width="10.6640625" style="371" bestFit="1" customWidth="1"/>
    <col min="2061" max="2062" width="10.6640625" style="371" customWidth="1"/>
    <col min="2063" max="2064" width="11.6640625" style="371" bestFit="1" customWidth="1"/>
    <col min="2065" max="2065" width="8.88671875" style="371"/>
    <col min="2066" max="2066" width="10.33203125" style="371" bestFit="1" customWidth="1"/>
    <col min="2067" max="2299" width="8.88671875" style="371"/>
    <col min="2300" max="2300" width="9.5546875" style="371" bestFit="1" customWidth="1"/>
    <col min="2301" max="2302" width="3.5546875" style="371" bestFit="1" customWidth="1"/>
    <col min="2303" max="2303" width="5.5546875" style="371" bestFit="1" customWidth="1"/>
    <col min="2304" max="2305" width="10.6640625" style="371" bestFit="1" customWidth="1"/>
    <col min="2306" max="2306" width="9.6640625" style="371" bestFit="1" customWidth="1"/>
    <col min="2307" max="2307" width="9.6640625" style="371" customWidth="1"/>
    <col min="2308" max="2309" width="9.6640625" style="371" bestFit="1" customWidth="1"/>
    <col min="2310" max="2310" width="8.109375" style="371" bestFit="1" customWidth="1"/>
    <col min="2311" max="2315" width="9.33203125" style="371" bestFit="1" customWidth="1"/>
    <col min="2316" max="2316" width="10.6640625" style="371" bestFit="1" customWidth="1"/>
    <col min="2317" max="2318" width="10.6640625" style="371" customWidth="1"/>
    <col min="2319" max="2320" width="11.6640625" style="371" bestFit="1" customWidth="1"/>
    <col min="2321" max="2321" width="8.88671875" style="371"/>
    <col min="2322" max="2322" width="10.33203125" style="371" bestFit="1" customWidth="1"/>
    <col min="2323" max="2555" width="8.88671875" style="371"/>
    <col min="2556" max="2556" width="9.5546875" style="371" bestFit="1" customWidth="1"/>
    <col min="2557" max="2558" width="3.5546875" style="371" bestFit="1" customWidth="1"/>
    <col min="2559" max="2559" width="5.5546875" style="371" bestFit="1" customWidth="1"/>
    <col min="2560" max="2561" width="10.6640625" style="371" bestFit="1" customWidth="1"/>
    <col min="2562" max="2562" width="9.6640625" style="371" bestFit="1" customWidth="1"/>
    <col min="2563" max="2563" width="9.6640625" style="371" customWidth="1"/>
    <col min="2564" max="2565" width="9.6640625" style="371" bestFit="1" customWidth="1"/>
    <col min="2566" max="2566" width="8.109375" style="371" bestFit="1" customWidth="1"/>
    <col min="2567" max="2571" width="9.33203125" style="371" bestFit="1" customWidth="1"/>
    <col min="2572" max="2572" width="10.6640625" style="371" bestFit="1" customWidth="1"/>
    <col min="2573" max="2574" width="10.6640625" style="371" customWidth="1"/>
    <col min="2575" max="2576" width="11.6640625" style="371" bestFit="1" customWidth="1"/>
    <col min="2577" max="2577" width="8.88671875" style="371"/>
    <col min="2578" max="2578" width="10.33203125" style="371" bestFit="1" customWidth="1"/>
    <col min="2579" max="2811" width="8.88671875" style="371"/>
    <col min="2812" max="2812" width="9.5546875" style="371" bestFit="1" customWidth="1"/>
    <col min="2813" max="2814" width="3.5546875" style="371" bestFit="1" customWidth="1"/>
    <col min="2815" max="2815" width="5.5546875" style="371" bestFit="1" customWidth="1"/>
    <col min="2816" max="2817" width="10.6640625" style="371" bestFit="1" customWidth="1"/>
    <col min="2818" max="2818" width="9.6640625" style="371" bestFit="1" customWidth="1"/>
    <col min="2819" max="2819" width="9.6640625" style="371" customWidth="1"/>
    <col min="2820" max="2821" width="9.6640625" style="371" bestFit="1" customWidth="1"/>
    <col min="2822" max="2822" width="8.109375" style="371" bestFit="1" customWidth="1"/>
    <col min="2823" max="2827" width="9.33203125" style="371" bestFit="1" customWidth="1"/>
    <col min="2828" max="2828" width="10.6640625" style="371" bestFit="1" customWidth="1"/>
    <col min="2829" max="2830" width="10.6640625" style="371" customWidth="1"/>
    <col min="2831" max="2832" width="11.6640625" style="371" bestFit="1" customWidth="1"/>
    <col min="2833" max="2833" width="8.88671875" style="371"/>
    <col min="2834" max="2834" width="10.33203125" style="371" bestFit="1" customWidth="1"/>
    <col min="2835" max="3067" width="8.88671875" style="371"/>
    <col min="3068" max="3068" width="9.5546875" style="371" bestFit="1" customWidth="1"/>
    <col min="3069" max="3070" width="3.5546875" style="371" bestFit="1" customWidth="1"/>
    <col min="3071" max="3071" width="5.5546875" style="371" bestFit="1" customWidth="1"/>
    <col min="3072" max="3073" width="10.6640625" style="371" bestFit="1" customWidth="1"/>
    <col min="3074" max="3074" width="9.6640625" style="371" bestFit="1" customWidth="1"/>
    <col min="3075" max="3075" width="9.6640625" style="371" customWidth="1"/>
    <col min="3076" max="3077" width="9.6640625" style="371" bestFit="1" customWidth="1"/>
    <col min="3078" max="3078" width="8.109375" style="371" bestFit="1" customWidth="1"/>
    <col min="3079" max="3083" width="9.33203125" style="371" bestFit="1" customWidth="1"/>
    <col min="3084" max="3084" width="10.6640625" style="371" bestFit="1" customWidth="1"/>
    <col min="3085" max="3086" width="10.6640625" style="371" customWidth="1"/>
    <col min="3087" max="3088" width="11.6640625" style="371" bestFit="1" customWidth="1"/>
    <col min="3089" max="3089" width="8.88671875" style="371"/>
    <col min="3090" max="3090" width="10.33203125" style="371" bestFit="1" customWidth="1"/>
    <col min="3091" max="3323" width="8.88671875" style="371"/>
    <col min="3324" max="3324" width="9.5546875" style="371" bestFit="1" customWidth="1"/>
    <col min="3325" max="3326" width="3.5546875" style="371" bestFit="1" customWidth="1"/>
    <col min="3327" max="3327" width="5.5546875" style="371" bestFit="1" customWidth="1"/>
    <col min="3328" max="3329" width="10.6640625" style="371" bestFit="1" customWidth="1"/>
    <col min="3330" max="3330" width="9.6640625" style="371" bestFit="1" customWidth="1"/>
    <col min="3331" max="3331" width="9.6640625" style="371" customWidth="1"/>
    <col min="3332" max="3333" width="9.6640625" style="371" bestFit="1" customWidth="1"/>
    <col min="3334" max="3334" width="8.109375" style="371" bestFit="1" customWidth="1"/>
    <col min="3335" max="3339" width="9.33203125" style="371" bestFit="1" customWidth="1"/>
    <col min="3340" max="3340" width="10.6640625" style="371" bestFit="1" customWidth="1"/>
    <col min="3341" max="3342" width="10.6640625" style="371" customWidth="1"/>
    <col min="3343" max="3344" width="11.6640625" style="371" bestFit="1" customWidth="1"/>
    <col min="3345" max="3345" width="8.88671875" style="371"/>
    <col min="3346" max="3346" width="10.33203125" style="371" bestFit="1" customWidth="1"/>
    <col min="3347" max="3579" width="8.88671875" style="371"/>
    <col min="3580" max="3580" width="9.5546875" style="371" bestFit="1" customWidth="1"/>
    <col min="3581" max="3582" width="3.5546875" style="371" bestFit="1" customWidth="1"/>
    <col min="3583" max="3583" width="5.5546875" style="371" bestFit="1" customWidth="1"/>
    <col min="3584" max="3585" width="10.6640625" style="371" bestFit="1" customWidth="1"/>
    <col min="3586" max="3586" width="9.6640625" style="371" bestFit="1" customWidth="1"/>
    <col min="3587" max="3587" width="9.6640625" style="371" customWidth="1"/>
    <col min="3588" max="3589" width="9.6640625" style="371" bestFit="1" customWidth="1"/>
    <col min="3590" max="3590" width="8.109375" style="371" bestFit="1" customWidth="1"/>
    <col min="3591" max="3595" width="9.33203125" style="371" bestFit="1" customWidth="1"/>
    <col min="3596" max="3596" width="10.6640625" style="371" bestFit="1" customWidth="1"/>
    <col min="3597" max="3598" width="10.6640625" style="371" customWidth="1"/>
    <col min="3599" max="3600" width="11.6640625" style="371" bestFit="1" customWidth="1"/>
    <col min="3601" max="3601" width="8.88671875" style="371"/>
    <col min="3602" max="3602" width="10.33203125" style="371" bestFit="1" customWidth="1"/>
    <col min="3603" max="3835" width="8.88671875" style="371"/>
    <col min="3836" max="3836" width="9.5546875" style="371" bestFit="1" customWidth="1"/>
    <col min="3837" max="3838" width="3.5546875" style="371" bestFit="1" customWidth="1"/>
    <col min="3839" max="3839" width="5.5546875" style="371" bestFit="1" customWidth="1"/>
    <col min="3840" max="3841" width="10.6640625" style="371" bestFit="1" customWidth="1"/>
    <col min="3842" max="3842" width="9.6640625" style="371" bestFit="1" customWidth="1"/>
    <col min="3843" max="3843" width="9.6640625" style="371" customWidth="1"/>
    <col min="3844" max="3845" width="9.6640625" style="371" bestFit="1" customWidth="1"/>
    <col min="3846" max="3846" width="8.109375" style="371" bestFit="1" customWidth="1"/>
    <col min="3847" max="3851" width="9.33203125" style="371" bestFit="1" customWidth="1"/>
    <col min="3852" max="3852" width="10.6640625" style="371" bestFit="1" customWidth="1"/>
    <col min="3853" max="3854" width="10.6640625" style="371" customWidth="1"/>
    <col min="3855" max="3856" width="11.6640625" style="371" bestFit="1" customWidth="1"/>
    <col min="3857" max="3857" width="8.88671875" style="371"/>
    <col min="3858" max="3858" width="10.33203125" style="371" bestFit="1" customWidth="1"/>
    <col min="3859" max="4091" width="8.88671875" style="371"/>
    <col min="4092" max="4092" width="9.5546875" style="371" bestFit="1" customWidth="1"/>
    <col min="4093" max="4094" width="3.5546875" style="371" bestFit="1" customWidth="1"/>
    <col min="4095" max="4095" width="5.5546875" style="371" bestFit="1" customWidth="1"/>
    <col min="4096" max="4097" width="10.6640625" style="371" bestFit="1" customWidth="1"/>
    <col min="4098" max="4098" width="9.6640625" style="371" bestFit="1" customWidth="1"/>
    <col min="4099" max="4099" width="9.6640625" style="371" customWidth="1"/>
    <col min="4100" max="4101" width="9.6640625" style="371" bestFit="1" customWidth="1"/>
    <col min="4102" max="4102" width="8.109375" style="371" bestFit="1" customWidth="1"/>
    <col min="4103" max="4107" width="9.33203125" style="371" bestFit="1" customWidth="1"/>
    <col min="4108" max="4108" width="10.6640625" style="371" bestFit="1" customWidth="1"/>
    <col min="4109" max="4110" width="10.6640625" style="371" customWidth="1"/>
    <col min="4111" max="4112" width="11.6640625" style="371" bestFit="1" customWidth="1"/>
    <col min="4113" max="4113" width="8.88671875" style="371"/>
    <col min="4114" max="4114" width="10.33203125" style="371" bestFit="1" customWidth="1"/>
    <col min="4115" max="4347" width="8.88671875" style="371"/>
    <col min="4348" max="4348" width="9.5546875" style="371" bestFit="1" customWidth="1"/>
    <col min="4349" max="4350" width="3.5546875" style="371" bestFit="1" customWidth="1"/>
    <col min="4351" max="4351" width="5.5546875" style="371" bestFit="1" customWidth="1"/>
    <col min="4352" max="4353" width="10.6640625" style="371" bestFit="1" customWidth="1"/>
    <col min="4354" max="4354" width="9.6640625" style="371" bestFit="1" customWidth="1"/>
    <col min="4355" max="4355" width="9.6640625" style="371" customWidth="1"/>
    <col min="4356" max="4357" width="9.6640625" style="371" bestFit="1" customWidth="1"/>
    <col min="4358" max="4358" width="8.109375" style="371" bestFit="1" customWidth="1"/>
    <col min="4359" max="4363" width="9.33203125" style="371" bestFit="1" customWidth="1"/>
    <col min="4364" max="4364" width="10.6640625" style="371" bestFit="1" customWidth="1"/>
    <col min="4365" max="4366" width="10.6640625" style="371" customWidth="1"/>
    <col min="4367" max="4368" width="11.6640625" style="371" bestFit="1" customWidth="1"/>
    <col min="4369" max="4369" width="8.88671875" style="371"/>
    <col min="4370" max="4370" width="10.33203125" style="371" bestFit="1" customWidth="1"/>
    <col min="4371" max="4603" width="8.88671875" style="371"/>
    <col min="4604" max="4604" width="9.5546875" style="371" bestFit="1" customWidth="1"/>
    <col min="4605" max="4606" width="3.5546875" style="371" bestFit="1" customWidth="1"/>
    <col min="4607" max="4607" width="5.5546875" style="371" bestFit="1" customWidth="1"/>
    <col min="4608" max="4609" width="10.6640625" style="371" bestFit="1" customWidth="1"/>
    <col min="4610" max="4610" width="9.6640625" style="371" bestFit="1" customWidth="1"/>
    <col min="4611" max="4611" width="9.6640625" style="371" customWidth="1"/>
    <col min="4612" max="4613" width="9.6640625" style="371" bestFit="1" customWidth="1"/>
    <col min="4614" max="4614" width="8.109375" style="371" bestFit="1" customWidth="1"/>
    <col min="4615" max="4619" width="9.33203125" style="371" bestFit="1" customWidth="1"/>
    <col min="4620" max="4620" width="10.6640625" style="371" bestFit="1" customWidth="1"/>
    <col min="4621" max="4622" width="10.6640625" style="371" customWidth="1"/>
    <col min="4623" max="4624" width="11.6640625" style="371" bestFit="1" customWidth="1"/>
    <col min="4625" max="4625" width="8.88671875" style="371"/>
    <col min="4626" max="4626" width="10.33203125" style="371" bestFit="1" customWidth="1"/>
    <col min="4627" max="4859" width="8.88671875" style="371"/>
    <col min="4860" max="4860" width="9.5546875" style="371" bestFit="1" customWidth="1"/>
    <col min="4861" max="4862" width="3.5546875" style="371" bestFit="1" customWidth="1"/>
    <col min="4863" max="4863" width="5.5546875" style="371" bestFit="1" customWidth="1"/>
    <col min="4864" max="4865" width="10.6640625" style="371" bestFit="1" customWidth="1"/>
    <col min="4866" max="4866" width="9.6640625" style="371" bestFit="1" customWidth="1"/>
    <col min="4867" max="4867" width="9.6640625" style="371" customWidth="1"/>
    <col min="4868" max="4869" width="9.6640625" style="371" bestFit="1" customWidth="1"/>
    <col min="4870" max="4870" width="8.109375" style="371" bestFit="1" customWidth="1"/>
    <col min="4871" max="4875" width="9.33203125" style="371" bestFit="1" customWidth="1"/>
    <col min="4876" max="4876" width="10.6640625" style="371" bestFit="1" customWidth="1"/>
    <col min="4877" max="4878" width="10.6640625" style="371" customWidth="1"/>
    <col min="4879" max="4880" width="11.6640625" style="371" bestFit="1" customWidth="1"/>
    <col min="4881" max="4881" width="8.88671875" style="371"/>
    <col min="4882" max="4882" width="10.33203125" style="371" bestFit="1" customWidth="1"/>
    <col min="4883" max="5115" width="8.88671875" style="371"/>
    <col min="5116" max="5116" width="9.5546875" style="371" bestFit="1" customWidth="1"/>
    <col min="5117" max="5118" width="3.5546875" style="371" bestFit="1" customWidth="1"/>
    <col min="5119" max="5119" width="5.5546875" style="371" bestFit="1" customWidth="1"/>
    <col min="5120" max="5121" width="10.6640625" style="371" bestFit="1" customWidth="1"/>
    <col min="5122" max="5122" width="9.6640625" style="371" bestFit="1" customWidth="1"/>
    <col min="5123" max="5123" width="9.6640625" style="371" customWidth="1"/>
    <col min="5124" max="5125" width="9.6640625" style="371" bestFit="1" customWidth="1"/>
    <col min="5126" max="5126" width="8.109375" style="371" bestFit="1" customWidth="1"/>
    <col min="5127" max="5131" width="9.33203125" style="371" bestFit="1" customWidth="1"/>
    <col min="5132" max="5132" width="10.6640625" style="371" bestFit="1" customWidth="1"/>
    <col min="5133" max="5134" width="10.6640625" style="371" customWidth="1"/>
    <col min="5135" max="5136" width="11.6640625" style="371" bestFit="1" customWidth="1"/>
    <col min="5137" max="5137" width="8.88671875" style="371"/>
    <col min="5138" max="5138" width="10.33203125" style="371" bestFit="1" customWidth="1"/>
    <col min="5139" max="5371" width="8.88671875" style="371"/>
    <col min="5372" max="5372" width="9.5546875" style="371" bestFit="1" customWidth="1"/>
    <col min="5373" max="5374" width="3.5546875" style="371" bestFit="1" customWidth="1"/>
    <col min="5375" max="5375" width="5.5546875" style="371" bestFit="1" customWidth="1"/>
    <col min="5376" max="5377" width="10.6640625" style="371" bestFit="1" customWidth="1"/>
    <col min="5378" max="5378" width="9.6640625" style="371" bestFit="1" customWidth="1"/>
    <col min="5379" max="5379" width="9.6640625" style="371" customWidth="1"/>
    <col min="5380" max="5381" width="9.6640625" style="371" bestFit="1" customWidth="1"/>
    <col min="5382" max="5382" width="8.109375" style="371" bestFit="1" customWidth="1"/>
    <col min="5383" max="5387" width="9.33203125" style="371" bestFit="1" customWidth="1"/>
    <col min="5388" max="5388" width="10.6640625" style="371" bestFit="1" customWidth="1"/>
    <col min="5389" max="5390" width="10.6640625" style="371" customWidth="1"/>
    <col min="5391" max="5392" width="11.6640625" style="371" bestFit="1" customWidth="1"/>
    <col min="5393" max="5393" width="8.88671875" style="371"/>
    <col min="5394" max="5394" width="10.33203125" style="371" bestFit="1" customWidth="1"/>
    <col min="5395" max="5627" width="8.88671875" style="371"/>
    <col min="5628" max="5628" width="9.5546875" style="371" bestFit="1" customWidth="1"/>
    <col min="5629" max="5630" width="3.5546875" style="371" bestFit="1" customWidth="1"/>
    <col min="5631" max="5631" width="5.5546875" style="371" bestFit="1" customWidth="1"/>
    <col min="5632" max="5633" width="10.6640625" style="371" bestFit="1" customWidth="1"/>
    <col min="5634" max="5634" width="9.6640625" style="371" bestFit="1" customWidth="1"/>
    <col min="5635" max="5635" width="9.6640625" style="371" customWidth="1"/>
    <col min="5636" max="5637" width="9.6640625" style="371" bestFit="1" customWidth="1"/>
    <col min="5638" max="5638" width="8.109375" style="371" bestFit="1" customWidth="1"/>
    <col min="5639" max="5643" width="9.33203125" style="371" bestFit="1" customWidth="1"/>
    <col min="5644" max="5644" width="10.6640625" style="371" bestFit="1" customWidth="1"/>
    <col min="5645" max="5646" width="10.6640625" style="371" customWidth="1"/>
    <col min="5647" max="5648" width="11.6640625" style="371" bestFit="1" customWidth="1"/>
    <col min="5649" max="5649" width="8.88671875" style="371"/>
    <col min="5650" max="5650" width="10.33203125" style="371" bestFit="1" customWidth="1"/>
    <col min="5651" max="5883" width="8.88671875" style="371"/>
    <col min="5884" max="5884" width="9.5546875" style="371" bestFit="1" customWidth="1"/>
    <col min="5885" max="5886" width="3.5546875" style="371" bestFit="1" customWidth="1"/>
    <col min="5887" max="5887" width="5.5546875" style="371" bestFit="1" customWidth="1"/>
    <col min="5888" max="5889" width="10.6640625" style="371" bestFit="1" customWidth="1"/>
    <col min="5890" max="5890" width="9.6640625" style="371" bestFit="1" customWidth="1"/>
    <col min="5891" max="5891" width="9.6640625" style="371" customWidth="1"/>
    <col min="5892" max="5893" width="9.6640625" style="371" bestFit="1" customWidth="1"/>
    <col min="5894" max="5894" width="8.109375" style="371" bestFit="1" customWidth="1"/>
    <col min="5895" max="5899" width="9.33203125" style="371" bestFit="1" customWidth="1"/>
    <col min="5900" max="5900" width="10.6640625" style="371" bestFit="1" customWidth="1"/>
    <col min="5901" max="5902" width="10.6640625" style="371" customWidth="1"/>
    <col min="5903" max="5904" width="11.6640625" style="371" bestFit="1" customWidth="1"/>
    <col min="5905" max="5905" width="8.88671875" style="371"/>
    <col min="5906" max="5906" width="10.33203125" style="371" bestFit="1" customWidth="1"/>
    <col min="5907" max="6139" width="8.88671875" style="371"/>
    <col min="6140" max="6140" width="9.5546875" style="371" bestFit="1" customWidth="1"/>
    <col min="6141" max="6142" width="3.5546875" style="371" bestFit="1" customWidth="1"/>
    <col min="6143" max="6143" width="5.5546875" style="371" bestFit="1" customWidth="1"/>
    <col min="6144" max="6145" width="10.6640625" style="371" bestFit="1" customWidth="1"/>
    <col min="6146" max="6146" width="9.6640625" style="371" bestFit="1" customWidth="1"/>
    <col min="6147" max="6147" width="9.6640625" style="371" customWidth="1"/>
    <col min="6148" max="6149" width="9.6640625" style="371" bestFit="1" customWidth="1"/>
    <col min="6150" max="6150" width="8.109375" style="371" bestFit="1" customWidth="1"/>
    <col min="6151" max="6155" width="9.33203125" style="371" bestFit="1" customWidth="1"/>
    <col min="6156" max="6156" width="10.6640625" style="371" bestFit="1" customWidth="1"/>
    <col min="6157" max="6158" width="10.6640625" style="371" customWidth="1"/>
    <col min="6159" max="6160" width="11.6640625" style="371" bestFit="1" customWidth="1"/>
    <col min="6161" max="6161" width="8.88671875" style="371"/>
    <col min="6162" max="6162" width="10.33203125" style="371" bestFit="1" customWidth="1"/>
    <col min="6163" max="6395" width="8.88671875" style="371"/>
    <col min="6396" max="6396" width="9.5546875" style="371" bestFit="1" customWidth="1"/>
    <col min="6397" max="6398" width="3.5546875" style="371" bestFit="1" customWidth="1"/>
    <col min="6399" max="6399" width="5.5546875" style="371" bestFit="1" customWidth="1"/>
    <col min="6400" max="6401" width="10.6640625" style="371" bestFit="1" customWidth="1"/>
    <col min="6402" max="6402" width="9.6640625" style="371" bestFit="1" customWidth="1"/>
    <col min="6403" max="6403" width="9.6640625" style="371" customWidth="1"/>
    <col min="6404" max="6405" width="9.6640625" style="371" bestFit="1" customWidth="1"/>
    <col min="6406" max="6406" width="8.109375" style="371" bestFit="1" customWidth="1"/>
    <col min="6407" max="6411" width="9.33203125" style="371" bestFit="1" customWidth="1"/>
    <col min="6412" max="6412" width="10.6640625" style="371" bestFit="1" customWidth="1"/>
    <col min="6413" max="6414" width="10.6640625" style="371" customWidth="1"/>
    <col min="6415" max="6416" width="11.6640625" style="371" bestFit="1" customWidth="1"/>
    <col min="6417" max="6417" width="8.88671875" style="371"/>
    <col min="6418" max="6418" width="10.33203125" style="371" bestFit="1" customWidth="1"/>
    <col min="6419" max="6651" width="8.88671875" style="371"/>
    <col min="6652" max="6652" width="9.5546875" style="371" bestFit="1" customWidth="1"/>
    <col min="6653" max="6654" width="3.5546875" style="371" bestFit="1" customWidth="1"/>
    <col min="6655" max="6655" width="5.5546875" style="371" bestFit="1" customWidth="1"/>
    <col min="6656" max="6657" width="10.6640625" style="371" bestFit="1" customWidth="1"/>
    <col min="6658" max="6658" width="9.6640625" style="371" bestFit="1" customWidth="1"/>
    <col min="6659" max="6659" width="9.6640625" style="371" customWidth="1"/>
    <col min="6660" max="6661" width="9.6640625" style="371" bestFit="1" customWidth="1"/>
    <col min="6662" max="6662" width="8.109375" style="371" bestFit="1" customWidth="1"/>
    <col min="6663" max="6667" width="9.33203125" style="371" bestFit="1" customWidth="1"/>
    <col min="6668" max="6668" width="10.6640625" style="371" bestFit="1" customWidth="1"/>
    <col min="6669" max="6670" width="10.6640625" style="371" customWidth="1"/>
    <col min="6671" max="6672" width="11.6640625" style="371" bestFit="1" customWidth="1"/>
    <col min="6673" max="6673" width="8.88671875" style="371"/>
    <col min="6674" max="6674" width="10.33203125" style="371" bestFit="1" customWidth="1"/>
    <col min="6675" max="6907" width="8.88671875" style="371"/>
    <col min="6908" max="6908" width="9.5546875" style="371" bestFit="1" customWidth="1"/>
    <col min="6909" max="6910" width="3.5546875" style="371" bestFit="1" customWidth="1"/>
    <col min="6911" max="6911" width="5.5546875" style="371" bestFit="1" customWidth="1"/>
    <col min="6912" max="6913" width="10.6640625" style="371" bestFit="1" customWidth="1"/>
    <col min="6914" max="6914" width="9.6640625" style="371" bestFit="1" customWidth="1"/>
    <col min="6915" max="6915" width="9.6640625" style="371" customWidth="1"/>
    <col min="6916" max="6917" width="9.6640625" style="371" bestFit="1" customWidth="1"/>
    <col min="6918" max="6918" width="8.109375" style="371" bestFit="1" customWidth="1"/>
    <col min="6919" max="6923" width="9.33203125" style="371" bestFit="1" customWidth="1"/>
    <col min="6924" max="6924" width="10.6640625" style="371" bestFit="1" customWidth="1"/>
    <col min="6925" max="6926" width="10.6640625" style="371" customWidth="1"/>
    <col min="6927" max="6928" width="11.6640625" style="371" bestFit="1" customWidth="1"/>
    <col min="6929" max="6929" width="8.88671875" style="371"/>
    <col min="6930" max="6930" width="10.33203125" style="371" bestFit="1" customWidth="1"/>
    <col min="6931" max="7163" width="8.88671875" style="371"/>
    <col min="7164" max="7164" width="9.5546875" style="371" bestFit="1" customWidth="1"/>
    <col min="7165" max="7166" width="3.5546875" style="371" bestFit="1" customWidth="1"/>
    <col min="7167" max="7167" width="5.5546875" style="371" bestFit="1" customWidth="1"/>
    <col min="7168" max="7169" width="10.6640625" style="371" bestFit="1" customWidth="1"/>
    <col min="7170" max="7170" width="9.6640625" style="371" bestFit="1" customWidth="1"/>
    <col min="7171" max="7171" width="9.6640625" style="371" customWidth="1"/>
    <col min="7172" max="7173" width="9.6640625" style="371" bestFit="1" customWidth="1"/>
    <col min="7174" max="7174" width="8.109375" style="371" bestFit="1" customWidth="1"/>
    <col min="7175" max="7179" width="9.33203125" style="371" bestFit="1" customWidth="1"/>
    <col min="7180" max="7180" width="10.6640625" style="371" bestFit="1" customWidth="1"/>
    <col min="7181" max="7182" width="10.6640625" style="371" customWidth="1"/>
    <col min="7183" max="7184" width="11.6640625" style="371" bestFit="1" customWidth="1"/>
    <col min="7185" max="7185" width="8.88671875" style="371"/>
    <col min="7186" max="7186" width="10.33203125" style="371" bestFit="1" customWidth="1"/>
    <col min="7187" max="7419" width="8.88671875" style="371"/>
    <col min="7420" max="7420" width="9.5546875" style="371" bestFit="1" customWidth="1"/>
    <col min="7421" max="7422" width="3.5546875" style="371" bestFit="1" customWidth="1"/>
    <col min="7423" max="7423" width="5.5546875" style="371" bestFit="1" customWidth="1"/>
    <col min="7424" max="7425" width="10.6640625" style="371" bestFit="1" customWidth="1"/>
    <col min="7426" max="7426" width="9.6640625" style="371" bestFit="1" customWidth="1"/>
    <col min="7427" max="7427" width="9.6640625" style="371" customWidth="1"/>
    <col min="7428" max="7429" width="9.6640625" style="371" bestFit="1" customWidth="1"/>
    <col min="7430" max="7430" width="8.109375" style="371" bestFit="1" customWidth="1"/>
    <col min="7431" max="7435" width="9.33203125" style="371" bestFit="1" customWidth="1"/>
    <col min="7436" max="7436" width="10.6640625" style="371" bestFit="1" customWidth="1"/>
    <col min="7437" max="7438" width="10.6640625" style="371" customWidth="1"/>
    <col min="7439" max="7440" width="11.6640625" style="371" bestFit="1" customWidth="1"/>
    <col min="7441" max="7441" width="8.88671875" style="371"/>
    <col min="7442" max="7442" width="10.33203125" style="371" bestFit="1" customWidth="1"/>
    <col min="7443" max="7675" width="8.88671875" style="371"/>
    <col min="7676" max="7676" width="9.5546875" style="371" bestFit="1" customWidth="1"/>
    <col min="7677" max="7678" width="3.5546875" style="371" bestFit="1" customWidth="1"/>
    <col min="7679" max="7679" width="5.5546875" style="371" bestFit="1" customWidth="1"/>
    <col min="7680" max="7681" width="10.6640625" style="371" bestFit="1" customWidth="1"/>
    <col min="7682" max="7682" width="9.6640625" style="371" bestFit="1" customWidth="1"/>
    <col min="7683" max="7683" width="9.6640625" style="371" customWidth="1"/>
    <col min="7684" max="7685" width="9.6640625" style="371" bestFit="1" customWidth="1"/>
    <col min="7686" max="7686" width="8.109375" style="371" bestFit="1" customWidth="1"/>
    <col min="7687" max="7691" width="9.33203125" style="371" bestFit="1" customWidth="1"/>
    <col min="7692" max="7692" width="10.6640625" style="371" bestFit="1" customWidth="1"/>
    <col min="7693" max="7694" width="10.6640625" style="371" customWidth="1"/>
    <col min="7695" max="7696" width="11.6640625" style="371" bestFit="1" customWidth="1"/>
    <col min="7697" max="7697" width="8.88671875" style="371"/>
    <col min="7698" max="7698" width="10.33203125" style="371" bestFit="1" customWidth="1"/>
    <col min="7699" max="7931" width="8.88671875" style="371"/>
    <col min="7932" max="7932" width="9.5546875" style="371" bestFit="1" customWidth="1"/>
    <col min="7933" max="7934" width="3.5546875" style="371" bestFit="1" customWidth="1"/>
    <col min="7935" max="7935" width="5.5546875" style="371" bestFit="1" customWidth="1"/>
    <col min="7936" max="7937" width="10.6640625" style="371" bestFit="1" customWidth="1"/>
    <col min="7938" max="7938" width="9.6640625" style="371" bestFit="1" customWidth="1"/>
    <col min="7939" max="7939" width="9.6640625" style="371" customWidth="1"/>
    <col min="7940" max="7941" width="9.6640625" style="371" bestFit="1" customWidth="1"/>
    <col min="7942" max="7942" width="8.109375" style="371" bestFit="1" customWidth="1"/>
    <col min="7943" max="7947" width="9.33203125" style="371" bestFit="1" customWidth="1"/>
    <col min="7948" max="7948" width="10.6640625" style="371" bestFit="1" customWidth="1"/>
    <col min="7949" max="7950" width="10.6640625" style="371" customWidth="1"/>
    <col min="7951" max="7952" width="11.6640625" style="371" bestFit="1" customWidth="1"/>
    <col min="7953" max="7953" width="8.88671875" style="371"/>
    <col min="7954" max="7954" width="10.33203125" style="371" bestFit="1" customWidth="1"/>
    <col min="7955" max="8187" width="8.88671875" style="371"/>
    <col min="8188" max="8188" width="9.5546875" style="371" bestFit="1" customWidth="1"/>
    <col min="8189" max="8190" width="3.5546875" style="371" bestFit="1" customWidth="1"/>
    <col min="8191" max="8191" width="5.5546875" style="371" bestFit="1" customWidth="1"/>
    <col min="8192" max="8193" width="10.6640625" style="371" bestFit="1" customWidth="1"/>
    <col min="8194" max="8194" width="9.6640625" style="371" bestFit="1" customWidth="1"/>
    <col min="8195" max="8195" width="9.6640625" style="371" customWidth="1"/>
    <col min="8196" max="8197" width="9.6640625" style="371" bestFit="1" customWidth="1"/>
    <col min="8198" max="8198" width="8.109375" style="371" bestFit="1" customWidth="1"/>
    <col min="8199" max="8203" width="9.33203125" style="371" bestFit="1" customWidth="1"/>
    <col min="8204" max="8204" width="10.6640625" style="371" bestFit="1" customWidth="1"/>
    <col min="8205" max="8206" width="10.6640625" style="371" customWidth="1"/>
    <col min="8207" max="8208" width="11.6640625" style="371" bestFit="1" customWidth="1"/>
    <col min="8209" max="8209" width="8.88671875" style="371"/>
    <col min="8210" max="8210" width="10.33203125" style="371" bestFit="1" customWidth="1"/>
    <col min="8211" max="8443" width="8.88671875" style="371"/>
    <col min="8444" max="8444" width="9.5546875" style="371" bestFit="1" customWidth="1"/>
    <col min="8445" max="8446" width="3.5546875" style="371" bestFit="1" customWidth="1"/>
    <col min="8447" max="8447" width="5.5546875" style="371" bestFit="1" customWidth="1"/>
    <col min="8448" max="8449" width="10.6640625" style="371" bestFit="1" customWidth="1"/>
    <col min="8450" max="8450" width="9.6640625" style="371" bestFit="1" customWidth="1"/>
    <col min="8451" max="8451" width="9.6640625" style="371" customWidth="1"/>
    <col min="8452" max="8453" width="9.6640625" style="371" bestFit="1" customWidth="1"/>
    <col min="8454" max="8454" width="8.109375" style="371" bestFit="1" customWidth="1"/>
    <col min="8455" max="8459" width="9.33203125" style="371" bestFit="1" customWidth="1"/>
    <col min="8460" max="8460" width="10.6640625" style="371" bestFit="1" customWidth="1"/>
    <col min="8461" max="8462" width="10.6640625" style="371" customWidth="1"/>
    <col min="8463" max="8464" width="11.6640625" style="371" bestFit="1" customWidth="1"/>
    <col min="8465" max="8465" width="8.88671875" style="371"/>
    <col min="8466" max="8466" width="10.33203125" style="371" bestFit="1" customWidth="1"/>
    <col min="8467" max="8699" width="8.88671875" style="371"/>
    <col min="8700" max="8700" width="9.5546875" style="371" bestFit="1" customWidth="1"/>
    <col min="8701" max="8702" width="3.5546875" style="371" bestFit="1" customWidth="1"/>
    <col min="8703" max="8703" width="5.5546875" style="371" bestFit="1" customWidth="1"/>
    <col min="8704" max="8705" width="10.6640625" style="371" bestFit="1" customWidth="1"/>
    <col min="8706" max="8706" width="9.6640625" style="371" bestFit="1" customWidth="1"/>
    <col min="8707" max="8707" width="9.6640625" style="371" customWidth="1"/>
    <col min="8708" max="8709" width="9.6640625" style="371" bestFit="1" customWidth="1"/>
    <col min="8710" max="8710" width="8.109375" style="371" bestFit="1" customWidth="1"/>
    <col min="8711" max="8715" width="9.33203125" style="371" bestFit="1" customWidth="1"/>
    <col min="8716" max="8716" width="10.6640625" style="371" bestFit="1" customWidth="1"/>
    <col min="8717" max="8718" width="10.6640625" style="371" customWidth="1"/>
    <col min="8719" max="8720" width="11.6640625" style="371" bestFit="1" customWidth="1"/>
    <col min="8721" max="8721" width="8.88671875" style="371"/>
    <col min="8722" max="8722" width="10.33203125" style="371" bestFit="1" customWidth="1"/>
    <col min="8723" max="8955" width="8.88671875" style="371"/>
    <col min="8956" max="8956" width="9.5546875" style="371" bestFit="1" customWidth="1"/>
    <col min="8957" max="8958" width="3.5546875" style="371" bestFit="1" customWidth="1"/>
    <col min="8959" max="8959" width="5.5546875" style="371" bestFit="1" customWidth="1"/>
    <col min="8960" max="8961" width="10.6640625" style="371" bestFit="1" customWidth="1"/>
    <col min="8962" max="8962" width="9.6640625" style="371" bestFit="1" customWidth="1"/>
    <col min="8963" max="8963" width="9.6640625" style="371" customWidth="1"/>
    <col min="8964" max="8965" width="9.6640625" style="371" bestFit="1" customWidth="1"/>
    <col min="8966" max="8966" width="8.109375" style="371" bestFit="1" customWidth="1"/>
    <col min="8967" max="8971" width="9.33203125" style="371" bestFit="1" customWidth="1"/>
    <col min="8972" max="8972" width="10.6640625" style="371" bestFit="1" customWidth="1"/>
    <col min="8973" max="8974" width="10.6640625" style="371" customWidth="1"/>
    <col min="8975" max="8976" width="11.6640625" style="371" bestFit="1" customWidth="1"/>
    <col min="8977" max="8977" width="8.88671875" style="371"/>
    <col min="8978" max="8978" width="10.33203125" style="371" bestFit="1" customWidth="1"/>
    <col min="8979" max="9211" width="8.88671875" style="371"/>
    <col min="9212" max="9212" width="9.5546875" style="371" bestFit="1" customWidth="1"/>
    <col min="9213" max="9214" width="3.5546875" style="371" bestFit="1" customWidth="1"/>
    <col min="9215" max="9215" width="5.5546875" style="371" bestFit="1" customWidth="1"/>
    <col min="9216" max="9217" width="10.6640625" style="371" bestFit="1" customWidth="1"/>
    <col min="9218" max="9218" width="9.6640625" style="371" bestFit="1" customWidth="1"/>
    <col min="9219" max="9219" width="9.6640625" style="371" customWidth="1"/>
    <col min="9220" max="9221" width="9.6640625" style="371" bestFit="1" customWidth="1"/>
    <col min="9222" max="9222" width="8.109375" style="371" bestFit="1" customWidth="1"/>
    <col min="9223" max="9227" width="9.33203125" style="371" bestFit="1" customWidth="1"/>
    <col min="9228" max="9228" width="10.6640625" style="371" bestFit="1" customWidth="1"/>
    <col min="9229" max="9230" width="10.6640625" style="371" customWidth="1"/>
    <col min="9231" max="9232" width="11.6640625" style="371" bestFit="1" customWidth="1"/>
    <col min="9233" max="9233" width="8.88671875" style="371"/>
    <col min="9234" max="9234" width="10.33203125" style="371" bestFit="1" customWidth="1"/>
    <col min="9235" max="9467" width="8.88671875" style="371"/>
    <col min="9468" max="9468" width="9.5546875" style="371" bestFit="1" customWidth="1"/>
    <col min="9469" max="9470" width="3.5546875" style="371" bestFit="1" customWidth="1"/>
    <col min="9471" max="9471" width="5.5546875" style="371" bestFit="1" customWidth="1"/>
    <col min="9472" max="9473" width="10.6640625" style="371" bestFit="1" customWidth="1"/>
    <col min="9474" max="9474" width="9.6640625" style="371" bestFit="1" customWidth="1"/>
    <col min="9475" max="9475" width="9.6640625" style="371" customWidth="1"/>
    <col min="9476" max="9477" width="9.6640625" style="371" bestFit="1" customWidth="1"/>
    <col min="9478" max="9478" width="8.109375" style="371" bestFit="1" customWidth="1"/>
    <col min="9479" max="9483" width="9.33203125" style="371" bestFit="1" customWidth="1"/>
    <col min="9484" max="9484" width="10.6640625" style="371" bestFit="1" customWidth="1"/>
    <col min="9485" max="9486" width="10.6640625" style="371" customWidth="1"/>
    <col min="9487" max="9488" width="11.6640625" style="371" bestFit="1" customWidth="1"/>
    <col min="9489" max="9489" width="8.88671875" style="371"/>
    <col min="9490" max="9490" width="10.33203125" style="371" bestFit="1" customWidth="1"/>
    <col min="9491" max="9723" width="8.88671875" style="371"/>
    <col min="9724" max="9724" width="9.5546875" style="371" bestFit="1" customWidth="1"/>
    <col min="9725" max="9726" width="3.5546875" style="371" bestFit="1" customWidth="1"/>
    <col min="9727" max="9727" width="5.5546875" style="371" bestFit="1" customWidth="1"/>
    <col min="9728" max="9729" width="10.6640625" style="371" bestFit="1" customWidth="1"/>
    <col min="9730" max="9730" width="9.6640625" style="371" bestFit="1" customWidth="1"/>
    <col min="9731" max="9731" width="9.6640625" style="371" customWidth="1"/>
    <col min="9732" max="9733" width="9.6640625" style="371" bestFit="1" customWidth="1"/>
    <col min="9734" max="9734" width="8.109375" style="371" bestFit="1" customWidth="1"/>
    <col min="9735" max="9739" width="9.33203125" style="371" bestFit="1" customWidth="1"/>
    <col min="9740" max="9740" width="10.6640625" style="371" bestFit="1" customWidth="1"/>
    <col min="9741" max="9742" width="10.6640625" style="371" customWidth="1"/>
    <col min="9743" max="9744" width="11.6640625" style="371" bestFit="1" customWidth="1"/>
    <col min="9745" max="9745" width="8.88671875" style="371"/>
    <col min="9746" max="9746" width="10.33203125" style="371" bestFit="1" customWidth="1"/>
    <col min="9747" max="9979" width="8.88671875" style="371"/>
    <col min="9980" max="9980" width="9.5546875" style="371" bestFit="1" customWidth="1"/>
    <col min="9981" max="9982" width="3.5546875" style="371" bestFit="1" customWidth="1"/>
    <col min="9983" max="9983" width="5.5546875" style="371" bestFit="1" customWidth="1"/>
    <col min="9984" max="9985" width="10.6640625" style="371" bestFit="1" customWidth="1"/>
    <col min="9986" max="9986" width="9.6640625" style="371" bestFit="1" customWidth="1"/>
    <col min="9987" max="9987" width="9.6640625" style="371" customWidth="1"/>
    <col min="9988" max="9989" width="9.6640625" style="371" bestFit="1" customWidth="1"/>
    <col min="9990" max="9990" width="8.109375" style="371" bestFit="1" customWidth="1"/>
    <col min="9991" max="9995" width="9.33203125" style="371" bestFit="1" customWidth="1"/>
    <col min="9996" max="9996" width="10.6640625" style="371" bestFit="1" customWidth="1"/>
    <col min="9997" max="9998" width="10.6640625" style="371" customWidth="1"/>
    <col min="9999" max="10000" width="11.6640625" style="371" bestFit="1" customWidth="1"/>
    <col min="10001" max="10001" width="8.88671875" style="371"/>
    <col min="10002" max="10002" width="10.33203125" style="371" bestFit="1" customWidth="1"/>
    <col min="10003" max="10235" width="8.88671875" style="371"/>
    <col min="10236" max="10236" width="9.5546875" style="371" bestFit="1" customWidth="1"/>
    <col min="10237" max="10238" width="3.5546875" style="371" bestFit="1" customWidth="1"/>
    <col min="10239" max="10239" width="5.5546875" style="371" bestFit="1" customWidth="1"/>
    <col min="10240" max="10241" width="10.6640625" style="371" bestFit="1" customWidth="1"/>
    <col min="10242" max="10242" width="9.6640625" style="371" bestFit="1" customWidth="1"/>
    <col min="10243" max="10243" width="9.6640625" style="371" customWidth="1"/>
    <col min="10244" max="10245" width="9.6640625" style="371" bestFit="1" customWidth="1"/>
    <col min="10246" max="10246" width="8.109375" style="371" bestFit="1" customWidth="1"/>
    <col min="10247" max="10251" width="9.33203125" style="371" bestFit="1" customWidth="1"/>
    <col min="10252" max="10252" width="10.6640625" style="371" bestFit="1" customWidth="1"/>
    <col min="10253" max="10254" width="10.6640625" style="371" customWidth="1"/>
    <col min="10255" max="10256" width="11.6640625" style="371" bestFit="1" customWidth="1"/>
    <col min="10257" max="10257" width="8.88671875" style="371"/>
    <col min="10258" max="10258" width="10.33203125" style="371" bestFit="1" customWidth="1"/>
    <col min="10259" max="10491" width="8.88671875" style="371"/>
    <col min="10492" max="10492" width="9.5546875" style="371" bestFit="1" customWidth="1"/>
    <col min="10493" max="10494" width="3.5546875" style="371" bestFit="1" customWidth="1"/>
    <col min="10495" max="10495" width="5.5546875" style="371" bestFit="1" customWidth="1"/>
    <col min="10496" max="10497" width="10.6640625" style="371" bestFit="1" customWidth="1"/>
    <col min="10498" max="10498" width="9.6640625" style="371" bestFit="1" customWidth="1"/>
    <col min="10499" max="10499" width="9.6640625" style="371" customWidth="1"/>
    <col min="10500" max="10501" width="9.6640625" style="371" bestFit="1" customWidth="1"/>
    <col min="10502" max="10502" width="8.109375" style="371" bestFit="1" customWidth="1"/>
    <col min="10503" max="10507" width="9.33203125" style="371" bestFit="1" customWidth="1"/>
    <col min="10508" max="10508" width="10.6640625" style="371" bestFit="1" customWidth="1"/>
    <col min="10509" max="10510" width="10.6640625" style="371" customWidth="1"/>
    <col min="10511" max="10512" width="11.6640625" style="371" bestFit="1" customWidth="1"/>
    <col min="10513" max="10513" width="8.88671875" style="371"/>
    <col min="10514" max="10514" width="10.33203125" style="371" bestFit="1" customWidth="1"/>
    <col min="10515" max="10747" width="8.88671875" style="371"/>
    <col min="10748" max="10748" width="9.5546875" style="371" bestFit="1" customWidth="1"/>
    <col min="10749" max="10750" width="3.5546875" style="371" bestFit="1" customWidth="1"/>
    <col min="10751" max="10751" width="5.5546875" style="371" bestFit="1" customWidth="1"/>
    <col min="10752" max="10753" width="10.6640625" style="371" bestFit="1" customWidth="1"/>
    <col min="10754" max="10754" width="9.6640625" style="371" bestFit="1" customWidth="1"/>
    <col min="10755" max="10755" width="9.6640625" style="371" customWidth="1"/>
    <col min="10756" max="10757" width="9.6640625" style="371" bestFit="1" customWidth="1"/>
    <col min="10758" max="10758" width="8.109375" style="371" bestFit="1" customWidth="1"/>
    <col min="10759" max="10763" width="9.33203125" style="371" bestFit="1" customWidth="1"/>
    <col min="10764" max="10764" width="10.6640625" style="371" bestFit="1" customWidth="1"/>
    <col min="10765" max="10766" width="10.6640625" style="371" customWidth="1"/>
    <col min="10767" max="10768" width="11.6640625" style="371" bestFit="1" customWidth="1"/>
    <col min="10769" max="10769" width="8.88671875" style="371"/>
    <col min="10770" max="10770" width="10.33203125" style="371" bestFit="1" customWidth="1"/>
    <col min="10771" max="11003" width="8.88671875" style="371"/>
    <col min="11004" max="11004" width="9.5546875" style="371" bestFit="1" customWidth="1"/>
    <col min="11005" max="11006" width="3.5546875" style="371" bestFit="1" customWidth="1"/>
    <col min="11007" max="11007" width="5.5546875" style="371" bestFit="1" customWidth="1"/>
    <col min="11008" max="11009" width="10.6640625" style="371" bestFit="1" customWidth="1"/>
    <col min="11010" max="11010" width="9.6640625" style="371" bestFit="1" customWidth="1"/>
    <col min="11011" max="11011" width="9.6640625" style="371" customWidth="1"/>
    <col min="11012" max="11013" width="9.6640625" style="371" bestFit="1" customWidth="1"/>
    <col min="11014" max="11014" width="8.109375" style="371" bestFit="1" customWidth="1"/>
    <col min="11015" max="11019" width="9.33203125" style="371" bestFit="1" customWidth="1"/>
    <col min="11020" max="11020" width="10.6640625" style="371" bestFit="1" customWidth="1"/>
    <col min="11021" max="11022" width="10.6640625" style="371" customWidth="1"/>
    <col min="11023" max="11024" width="11.6640625" style="371" bestFit="1" customWidth="1"/>
    <col min="11025" max="11025" width="8.88671875" style="371"/>
    <col min="11026" max="11026" width="10.33203125" style="371" bestFit="1" customWidth="1"/>
    <col min="11027" max="11259" width="8.88671875" style="371"/>
    <col min="11260" max="11260" width="9.5546875" style="371" bestFit="1" customWidth="1"/>
    <col min="11261" max="11262" width="3.5546875" style="371" bestFit="1" customWidth="1"/>
    <col min="11263" max="11263" width="5.5546875" style="371" bestFit="1" customWidth="1"/>
    <col min="11264" max="11265" width="10.6640625" style="371" bestFit="1" customWidth="1"/>
    <col min="11266" max="11266" width="9.6640625" style="371" bestFit="1" customWidth="1"/>
    <col min="11267" max="11267" width="9.6640625" style="371" customWidth="1"/>
    <col min="11268" max="11269" width="9.6640625" style="371" bestFit="1" customWidth="1"/>
    <col min="11270" max="11270" width="8.109375" style="371" bestFit="1" customWidth="1"/>
    <col min="11271" max="11275" width="9.33203125" style="371" bestFit="1" customWidth="1"/>
    <col min="11276" max="11276" width="10.6640625" style="371" bestFit="1" customWidth="1"/>
    <col min="11277" max="11278" width="10.6640625" style="371" customWidth="1"/>
    <col min="11279" max="11280" width="11.6640625" style="371" bestFit="1" customWidth="1"/>
    <col min="11281" max="11281" width="8.88671875" style="371"/>
    <col min="11282" max="11282" width="10.33203125" style="371" bestFit="1" customWidth="1"/>
    <col min="11283" max="11515" width="8.88671875" style="371"/>
    <col min="11516" max="11516" width="9.5546875" style="371" bestFit="1" customWidth="1"/>
    <col min="11517" max="11518" width="3.5546875" style="371" bestFit="1" customWidth="1"/>
    <col min="11519" max="11519" width="5.5546875" style="371" bestFit="1" customWidth="1"/>
    <col min="11520" max="11521" width="10.6640625" style="371" bestFit="1" customWidth="1"/>
    <col min="11522" max="11522" width="9.6640625" style="371" bestFit="1" customWidth="1"/>
    <col min="11523" max="11523" width="9.6640625" style="371" customWidth="1"/>
    <col min="11524" max="11525" width="9.6640625" style="371" bestFit="1" customWidth="1"/>
    <col min="11526" max="11526" width="8.109375" style="371" bestFit="1" customWidth="1"/>
    <col min="11527" max="11531" width="9.33203125" style="371" bestFit="1" customWidth="1"/>
    <col min="11532" max="11532" width="10.6640625" style="371" bestFit="1" customWidth="1"/>
    <col min="11533" max="11534" width="10.6640625" style="371" customWidth="1"/>
    <col min="11535" max="11536" width="11.6640625" style="371" bestFit="1" customWidth="1"/>
    <col min="11537" max="11537" width="8.88671875" style="371"/>
    <col min="11538" max="11538" width="10.33203125" style="371" bestFit="1" customWidth="1"/>
    <col min="11539" max="11771" width="8.88671875" style="371"/>
    <col min="11772" max="11772" width="9.5546875" style="371" bestFit="1" customWidth="1"/>
    <col min="11773" max="11774" width="3.5546875" style="371" bestFit="1" customWidth="1"/>
    <col min="11775" max="11775" width="5.5546875" style="371" bestFit="1" customWidth="1"/>
    <col min="11776" max="11777" width="10.6640625" style="371" bestFit="1" customWidth="1"/>
    <col min="11778" max="11778" width="9.6640625" style="371" bestFit="1" customWidth="1"/>
    <col min="11779" max="11779" width="9.6640625" style="371" customWidth="1"/>
    <col min="11780" max="11781" width="9.6640625" style="371" bestFit="1" customWidth="1"/>
    <col min="11782" max="11782" width="8.109375" style="371" bestFit="1" customWidth="1"/>
    <col min="11783" max="11787" width="9.33203125" style="371" bestFit="1" customWidth="1"/>
    <col min="11788" max="11788" width="10.6640625" style="371" bestFit="1" customWidth="1"/>
    <col min="11789" max="11790" width="10.6640625" style="371" customWidth="1"/>
    <col min="11791" max="11792" width="11.6640625" style="371" bestFit="1" customWidth="1"/>
    <col min="11793" max="11793" width="8.88671875" style="371"/>
    <col min="11794" max="11794" width="10.33203125" style="371" bestFit="1" customWidth="1"/>
    <col min="11795" max="12027" width="8.88671875" style="371"/>
    <col min="12028" max="12028" width="9.5546875" style="371" bestFit="1" customWidth="1"/>
    <col min="12029" max="12030" width="3.5546875" style="371" bestFit="1" customWidth="1"/>
    <col min="12031" max="12031" width="5.5546875" style="371" bestFit="1" customWidth="1"/>
    <col min="12032" max="12033" width="10.6640625" style="371" bestFit="1" customWidth="1"/>
    <col min="12034" max="12034" width="9.6640625" style="371" bestFit="1" customWidth="1"/>
    <col min="12035" max="12035" width="9.6640625" style="371" customWidth="1"/>
    <col min="12036" max="12037" width="9.6640625" style="371" bestFit="1" customWidth="1"/>
    <col min="12038" max="12038" width="8.109375" style="371" bestFit="1" customWidth="1"/>
    <col min="12039" max="12043" width="9.33203125" style="371" bestFit="1" customWidth="1"/>
    <col min="12044" max="12044" width="10.6640625" style="371" bestFit="1" customWidth="1"/>
    <col min="12045" max="12046" width="10.6640625" style="371" customWidth="1"/>
    <col min="12047" max="12048" width="11.6640625" style="371" bestFit="1" customWidth="1"/>
    <col min="12049" max="12049" width="8.88671875" style="371"/>
    <col min="12050" max="12050" width="10.33203125" style="371" bestFit="1" customWidth="1"/>
    <col min="12051" max="12283" width="8.88671875" style="371"/>
    <col min="12284" max="12284" width="9.5546875" style="371" bestFit="1" customWidth="1"/>
    <col min="12285" max="12286" width="3.5546875" style="371" bestFit="1" customWidth="1"/>
    <col min="12287" max="12287" width="5.5546875" style="371" bestFit="1" customWidth="1"/>
    <col min="12288" max="12289" width="10.6640625" style="371" bestFit="1" customWidth="1"/>
    <col min="12290" max="12290" width="9.6640625" style="371" bestFit="1" customWidth="1"/>
    <col min="12291" max="12291" width="9.6640625" style="371" customWidth="1"/>
    <col min="12292" max="12293" width="9.6640625" style="371" bestFit="1" customWidth="1"/>
    <col min="12294" max="12294" width="8.109375" style="371" bestFit="1" customWidth="1"/>
    <col min="12295" max="12299" width="9.33203125" style="371" bestFit="1" customWidth="1"/>
    <col min="12300" max="12300" width="10.6640625" style="371" bestFit="1" customWidth="1"/>
    <col min="12301" max="12302" width="10.6640625" style="371" customWidth="1"/>
    <col min="12303" max="12304" width="11.6640625" style="371" bestFit="1" customWidth="1"/>
    <col min="12305" max="12305" width="8.88671875" style="371"/>
    <col min="12306" max="12306" width="10.33203125" style="371" bestFit="1" customWidth="1"/>
    <col min="12307" max="12539" width="8.88671875" style="371"/>
    <col min="12540" max="12540" width="9.5546875" style="371" bestFit="1" customWidth="1"/>
    <col min="12541" max="12542" width="3.5546875" style="371" bestFit="1" customWidth="1"/>
    <col min="12543" max="12543" width="5.5546875" style="371" bestFit="1" customWidth="1"/>
    <col min="12544" max="12545" width="10.6640625" style="371" bestFit="1" customWidth="1"/>
    <col min="12546" max="12546" width="9.6640625" style="371" bestFit="1" customWidth="1"/>
    <col min="12547" max="12547" width="9.6640625" style="371" customWidth="1"/>
    <col min="12548" max="12549" width="9.6640625" style="371" bestFit="1" customWidth="1"/>
    <col min="12550" max="12550" width="8.109375" style="371" bestFit="1" customWidth="1"/>
    <col min="12551" max="12555" width="9.33203125" style="371" bestFit="1" customWidth="1"/>
    <col min="12556" max="12556" width="10.6640625" style="371" bestFit="1" customWidth="1"/>
    <col min="12557" max="12558" width="10.6640625" style="371" customWidth="1"/>
    <col min="12559" max="12560" width="11.6640625" style="371" bestFit="1" customWidth="1"/>
    <col min="12561" max="12561" width="8.88671875" style="371"/>
    <col min="12562" max="12562" width="10.33203125" style="371" bestFit="1" customWidth="1"/>
    <col min="12563" max="12795" width="8.88671875" style="371"/>
    <col min="12796" max="12796" width="9.5546875" style="371" bestFit="1" customWidth="1"/>
    <col min="12797" max="12798" width="3.5546875" style="371" bestFit="1" customWidth="1"/>
    <col min="12799" max="12799" width="5.5546875" style="371" bestFit="1" customWidth="1"/>
    <col min="12800" max="12801" width="10.6640625" style="371" bestFit="1" customWidth="1"/>
    <col min="12802" max="12802" width="9.6640625" style="371" bestFit="1" customWidth="1"/>
    <col min="12803" max="12803" width="9.6640625" style="371" customWidth="1"/>
    <col min="12804" max="12805" width="9.6640625" style="371" bestFit="1" customWidth="1"/>
    <col min="12806" max="12806" width="8.109375" style="371" bestFit="1" customWidth="1"/>
    <col min="12807" max="12811" width="9.33203125" style="371" bestFit="1" customWidth="1"/>
    <col min="12812" max="12812" width="10.6640625" style="371" bestFit="1" customWidth="1"/>
    <col min="12813" max="12814" width="10.6640625" style="371" customWidth="1"/>
    <col min="12815" max="12816" width="11.6640625" style="371" bestFit="1" customWidth="1"/>
    <col min="12817" max="12817" width="8.88671875" style="371"/>
    <col min="12818" max="12818" width="10.33203125" style="371" bestFit="1" customWidth="1"/>
    <col min="12819" max="13051" width="8.88671875" style="371"/>
    <col min="13052" max="13052" width="9.5546875" style="371" bestFit="1" customWidth="1"/>
    <col min="13053" max="13054" width="3.5546875" style="371" bestFit="1" customWidth="1"/>
    <col min="13055" max="13055" width="5.5546875" style="371" bestFit="1" customWidth="1"/>
    <col min="13056" max="13057" width="10.6640625" style="371" bestFit="1" customWidth="1"/>
    <col min="13058" max="13058" width="9.6640625" style="371" bestFit="1" customWidth="1"/>
    <col min="13059" max="13059" width="9.6640625" style="371" customWidth="1"/>
    <col min="13060" max="13061" width="9.6640625" style="371" bestFit="1" customWidth="1"/>
    <col min="13062" max="13062" width="8.109375" style="371" bestFit="1" customWidth="1"/>
    <col min="13063" max="13067" width="9.33203125" style="371" bestFit="1" customWidth="1"/>
    <col min="13068" max="13068" width="10.6640625" style="371" bestFit="1" customWidth="1"/>
    <col min="13069" max="13070" width="10.6640625" style="371" customWidth="1"/>
    <col min="13071" max="13072" width="11.6640625" style="371" bestFit="1" customWidth="1"/>
    <col min="13073" max="13073" width="8.88671875" style="371"/>
    <col min="13074" max="13074" width="10.33203125" style="371" bestFit="1" customWidth="1"/>
    <col min="13075" max="13307" width="8.88671875" style="371"/>
    <col min="13308" max="13308" width="9.5546875" style="371" bestFit="1" customWidth="1"/>
    <col min="13309" max="13310" width="3.5546875" style="371" bestFit="1" customWidth="1"/>
    <col min="13311" max="13311" width="5.5546875" style="371" bestFit="1" customWidth="1"/>
    <col min="13312" max="13313" width="10.6640625" style="371" bestFit="1" customWidth="1"/>
    <col min="13314" max="13314" width="9.6640625" style="371" bestFit="1" customWidth="1"/>
    <col min="13315" max="13315" width="9.6640625" style="371" customWidth="1"/>
    <col min="13316" max="13317" width="9.6640625" style="371" bestFit="1" customWidth="1"/>
    <col min="13318" max="13318" width="8.109375" style="371" bestFit="1" customWidth="1"/>
    <col min="13319" max="13323" width="9.33203125" style="371" bestFit="1" customWidth="1"/>
    <col min="13324" max="13324" width="10.6640625" style="371" bestFit="1" customWidth="1"/>
    <col min="13325" max="13326" width="10.6640625" style="371" customWidth="1"/>
    <col min="13327" max="13328" width="11.6640625" style="371" bestFit="1" customWidth="1"/>
    <col min="13329" max="13329" width="8.88671875" style="371"/>
    <col min="13330" max="13330" width="10.33203125" style="371" bestFit="1" customWidth="1"/>
    <col min="13331" max="13563" width="8.88671875" style="371"/>
    <col min="13564" max="13564" width="9.5546875" style="371" bestFit="1" customWidth="1"/>
    <col min="13565" max="13566" width="3.5546875" style="371" bestFit="1" customWidth="1"/>
    <col min="13567" max="13567" width="5.5546875" style="371" bestFit="1" customWidth="1"/>
    <col min="13568" max="13569" width="10.6640625" style="371" bestFit="1" customWidth="1"/>
    <col min="13570" max="13570" width="9.6640625" style="371" bestFit="1" customWidth="1"/>
    <col min="13571" max="13571" width="9.6640625" style="371" customWidth="1"/>
    <col min="13572" max="13573" width="9.6640625" style="371" bestFit="1" customWidth="1"/>
    <col min="13574" max="13574" width="8.109375" style="371" bestFit="1" customWidth="1"/>
    <col min="13575" max="13579" width="9.33203125" style="371" bestFit="1" customWidth="1"/>
    <col min="13580" max="13580" width="10.6640625" style="371" bestFit="1" customWidth="1"/>
    <col min="13581" max="13582" width="10.6640625" style="371" customWidth="1"/>
    <col min="13583" max="13584" width="11.6640625" style="371" bestFit="1" customWidth="1"/>
    <col min="13585" max="13585" width="8.88671875" style="371"/>
    <col min="13586" max="13586" width="10.33203125" style="371" bestFit="1" customWidth="1"/>
    <col min="13587" max="13819" width="8.88671875" style="371"/>
    <col min="13820" max="13820" width="9.5546875" style="371" bestFit="1" customWidth="1"/>
    <col min="13821" max="13822" width="3.5546875" style="371" bestFit="1" customWidth="1"/>
    <col min="13823" max="13823" width="5.5546875" style="371" bestFit="1" customWidth="1"/>
    <col min="13824" max="13825" width="10.6640625" style="371" bestFit="1" customWidth="1"/>
    <col min="13826" max="13826" width="9.6640625" style="371" bestFit="1" customWidth="1"/>
    <col min="13827" max="13827" width="9.6640625" style="371" customWidth="1"/>
    <col min="13828" max="13829" width="9.6640625" style="371" bestFit="1" customWidth="1"/>
    <col min="13830" max="13830" width="8.109375" style="371" bestFit="1" customWidth="1"/>
    <col min="13831" max="13835" width="9.33203125" style="371" bestFit="1" customWidth="1"/>
    <col min="13836" max="13836" width="10.6640625" style="371" bestFit="1" customWidth="1"/>
    <col min="13837" max="13838" width="10.6640625" style="371" customWidth="1"/>
    <col min="13839" max="13840" width="11.6640625" style="371" bestFit="1" customWidth="1"/>
    <col min="13841" max="13841" width="8.88671875" style="371"/>
    <col min="13842" max="13842" width="10.33203125" style="371" bestFit="1" customWidth="1"/>
    <col min="13843" max="14075" width="8.88671875" style="371"/>
    <col min="14076" max="14076" width="9.5546875" style="371" bestFit="1" customWidth="1"/>
    <col min="14077" max="14078" width="3.5546875" style="371" bestFit="1" customWidth="1"/>
    <col min="14079" max="14079" width="5.5546875" style="371" bestFit="1" customWidth="1"/>
    <col min="14080" max="14081" width="10.6640625" style="371" bestFit="1" customWidth="1"/>
    <col min="14082" max="14082" width="9.6640625" style="371" bestFit="1" customWidth="1"/>
    <col min="14083" max="14083" width="9.6640625" style="371" customWidth="1"/>
    <col min="14084" max="14085" width="9.6640625" style="371" bestFit="1" customWidth="1"/>
    <col min="14086" max="14086" width="8.109375" style="371" bestFit="1" customWidth="1"/>
    <col min="14087" max="14091" width="9.33203125" style="371" bestFit="1" customWidth="1"/>
    <col min="14092" max="14092" width="10.6640625" style="371" bestFit="1" customWidth="1"/>
    <col min="14093" max="14094" width="10.6640625" style="371" customWidth="1"/>
    <col min="14095" max="14096" width="11.6640625" style="371" bestFit="1" customWidth="1"/>
    <col min="14097" max="14097" width="8.88671875" style="371"/>
    <col min="14098" max="14098" width="10.33203125" style="371" bestFit="1" customWidth="1"/>
    <col min="14099" max="14331" width="8.88671875" style="371"/>
    <col min="14332" max="14332" width="9.5546875" style="371" bestFit="1" customWidth="1"/>
    <col min="14333" max="14334" width="3.5546875" style="371" bestFit="1" customWidth="1"/>
    <col min="14335" max="14335" width="5.5546875" style="371" bestFit="1" customWidth="1"/>
    <col min="14336" max="14337" width="10.6640625" style="371" bestFit="1" customWidth="1"/>
    <col min="14338" max="14338" width="9.6640625" style="371" bestFit="1" customWidth="1"/>
    <col min="14339" max="14339" width="9.6640625" style="371" customWidth="1"/>
    <col min="14340" max="14341" width="9.6640625" style="371" bestFit="1" customWidth="1"/>
    <col min="14342" max="14342" width="8.109375" style="371" bestFit="1" customWidth="1"/>
    <col min="14343" max="14347" width="9.33203125" style="371" bestFit="1" customWidth="1"/>
    <col min="14348" max="14348" width="10.6640625" style="371" bestFit="1" customWidth="1"/>
    <col min="14349" max="14350" width="10.6640625" style="371" customWidth="1"/>
    <col min="14351" max="14352" width="11.6640625" style="371" bestFit="1" customWidth="1"/>
    <col min="14353" max="14353" width="8.88671875" style="371"/>
    <col min="14354" max="14354" width="10.33203125" style="371" bestFit="1" customWidth="1"/>
    <col min="14355" max="14587" width="8.88671875" style="371"/>
    <col min="14588" max="14588" width="9.5546875" style="371" bestFit="1" customWidth="1"/>
    <col min="14589" max="14590" width="3.5546875" style="371" bestFit="1" customWidth="1"/>
    <col min="14591" max="14591" width="5.5546875" style="371" bestFit="1" customWidth="1"/>
    <col min="14592" max="14593" width="10.6640625" style="371" bestFit="1" customWidth="1"/>
    <col min="14594" max="14594" width="9.6640625" style="371" bestFit="1" customWidth="1"/>
    <col min="14595" max="14595" width="9.6640625" style="371" customWidth="1"/>
    <col min="14596" max="14597" width="9.6640625" style="371" bestFit="1" customWidth="1"/>
    <col min="14598" max="14598" width="8.109375" style="371" bestFit="1" customWidth="1"/>
    <col min="14599" max="14603" width="9.33203125" style="371" bestFit="1" customWidth="1"/>
    <col min="14604" max="14604" width="10.6640625" style="371" bestFit="1" customWidth="1"/>
    <col min="14605" max="14606" width="10.6640625" style="371" customWidth="1"/>
    <col min="14607" max="14608" width="11.6640625" style="371" bestFit="1" customWidth="1"/>
    <col min="14609" max="14609" width="8.88671875" style="371"/>
    <col min="14610" max="14610" width="10.33203125" style="371" bestFit="1" customWidth="1"/>
    <col min="14611" max="14843" width="8.88671875" style="371"/>
    <col min="14844" max="14844" width="9.5546875" style="371" bestFit="1" customWidth="1"/>
    <col min="14845" max="14846" width="3.5546875" style="371" bestFit="1" customWidth="1"/>
    <col min="14847" max="14847" width="5.5546875" style="371" bestFit="1" customWidth="1"/>
    <col min="14848" max="14849" width="10.6640625" style="371" bestFit="1" customWidth="1"/>
    <col min="14850" max="14850" width="9.6640625" style="371" bestFit="1" customWidth="1"/>
    <col min="14851" max="14851" width="9.6640625" style="371" customWidth="1"/>
    <col min="14852" max="14853" width="9.6640625" style="371" bestFit="1" customWidth="1"/>
    <col min="14854" max="14854" width="8.109375" style="371" bestFit="1" customWidth="1"/>
    <col min="14855" max="14859" width="9.33203125" style="371" bestFit="1" customWidth="1"/>
    <col min="14860" max="14860" width="10.6640625" style="371" bestFit="1" customWidth="1"/>
    <col min="14861" max="14862" width="10.6640625" style="371" customWidth="1"/>
    <col min="14863" max="14864" width="11.6640625" style="371" bestFit="1" customWidth="1"/>
    <col min="14865" max="14865" width="8.88671875" style="371"/>
    <col min="14866" max="14866" width="10.33203125" style="371" bestFit="1" customWidth="1"/>
    <col min="14867" max="15099" width="8.88671875" style="371"/>
    <col min="15100" max="15100" width="9.5546875" style="371" bestFit="1" customWidth="1"/>
    <col min="15101" max="15102" width="3.5546875" style="371" bestFit="1" customWidth="1"/>
    <col min="15103" max="15103" width="5.5546875" style="371" bestFit="1" customWidth="1"/>
    <col min="15104" max="15105" width="10.6640625" style="371" bestFit="1" customWidth="1"/>
    <col min="15106" max="15106" width="9.6640625" style="371" bestFit="1" customWidth="1"/>
    <col min="15107" max="15107" width="9.6640625" style="371" customWidth="1"/>
    <col min="15108" max="15109" width="9.6640625" style="371" bestFit="1" customWidth="1"/>
    <col min="15110" max="15110" width="8.109375" style="371" bestFit="1" customWidth="1"/>
    <col min="15111" max="15115" width="9.33203125" style="371" bestFit="1" customWidth="1"/>
    <col min="15116" max="15116" width="10.6640625" style="371" bestFit="1" customWidth="1"/>
    <col min="15117" max="15118" width="10.6640625" style="371" customWidth="1"/>
    <col min="15119" max="15120" width="11.6640625" style="371" bestFit="1" customWidth="1"/>
    <col min="15121" max="15121" width="8.88671875" style="371"/>
    <col min="15122" max="15122" width="10.33203125" style="371" bestFit="1" customWidth="1"/>
    <col min="15123" max="15355" width="8.88671875" style="371"/>
    <col min="15356" max="15356" width="9.5546875" style="371" bestFit="1" customWidth="1"/>
    <col min="15357" max="15358" width="3.5546875" style="371" bestFit="1" customWidth="1"/>
    <col min="15359" max="15359" width="5.5546875" style="371" bestFit="1" customWidth="1"/>
    <col min="15360" max="15361" width="10.6640625" style="371" bestFit="1" customWidth="1"/>
    <col min="15362" max="15362" width="9.6640625" style="371" bestFit="1" customWidth="1"/>
    <col min="15363" max="15363" width="9.6640625" style="371" customWidth="1"/>
    <col min="15364" max="15365" width="9.6640625" style="371" bestFit="1" customWidth="1"/>
    <col min="15366" max="15366" width="8.109375" style="371" bestFit="1" customWidth="1"/>
    <col min="15367" max="15371" width="9.33203125" style="371" bestFit="1" customWidth="1"/>
    <col min="15372" max="15372" width="10.6640625" style="371" bestFit="1" customWidth="1"/>
    <col min="15373" max="15374" width="10.6640625" style="371" customWidth="1"/>
    <col min="15375" max="15376" width="11.6640625" style="371" bestFit="1" customWidth="1"/>
    <col min="15377" max="15377" width="8.88671875" style="371"/>
    <col min="15378" max="15378" width="10.33203125" style="371" bestFit="1" customWidth="1"/>
    <col min="15379" max="15611" width="8.88671875" style="371"/>
    <col min="15612" max="15612" width="9.5546875" style="371" bestFit="1" customWidth="1"/>
    <col min="15613" max="15614" width="3.5546875" style="371" bestFit="1" customWidth="1"/>
    <col min="15615" max="15615" width="5.5546875" style="371" bestFit="1" customWidth="1"/>
    <col min="15616" max="15617" width="10.6640625" style="371" bestFit="1" customWidth="1"/>
    <col min="15618" max="15618" width="9.6640625" style="371" bestFit="1" customWidth="1"/>
    <col min="15619" max="15619" width="9.6640625" style="371" customWidth="1"/>
    <col min="15620" max="15621" width="9.6640625" style="371" bestFit="1" customWidth="1"/>
    <col min="15622" max="15622" width="8.109375" style="371" bestFit="1" customWidth="1"/>
    <col min="15623" max="15627" width="9.33203125" style="371" bestFit="1" customWidth="1"/>
    <col min="15628" max="15628" width="10.6640625" style="371" bestFit="1" customWidth="1"/>
    <col min="15629" max="15630" width="10.6640625" style="371" customWidth="1"/>
    <col min="15631" max="15632" width="11.6640625" style="371" bestFit="1" customWidth="1"/>
    <col min="15633" max="15633" width="8.88671875" style="371"/>
    <col min="15634" max="15634" width="10.33203125" style="371" bestFit="1" customWidth="1"/>
    <col min="15635" max="15867" width="8.88671875" style="371"/>
    <col min="15868" max="15868" width="9.5546875" style="371" bestFit="1" customWidth="1"/>
    <col min="15869" max="15870" width="3.5546875" style="371" bestFit="1" customWidth="1"/>
    <col min="15871" max="15871" width="5.5546875" style="371" bestFit="1" customWidth="1"/>
    <col min="15872" max="15873" width="10.6640625" style="371" bestFit="1" customWidth="1"/>
    <col min="15874" max="15874" width="9.6640625" style="371" bestFit="1" customWidth="1"/>
    <col min="15875" max="15875" width="9.6640625" style="371" customWidth="1"/>
    <col min="15876" max="15877" width="9.6640625" style="371" bestFit="1" customWidth="1"/>
    <col min="15878" max="15878" width="8.109375" style="371" bestFit="1" customWidth="1"/>
    <col min="15879" max="15883" width="9.33203125" style="371" bestFit="1" customWidth="1"/>
    <col min="15884" max="15884" width="10.6640625" style="371" bestFit="1" customWidth="1"/>
    <col min="15885" max="15886" width="10.6640625" style="371" customWidth="1"/>
    <col min="15887" max="15888" width="11.6640625" style="371" bestFit="1" customWidth="1"/>
    <col min="15889" max="15889" width="8.88671875" style="371"/>
    <col min="15890" max="15890" width="10.33203125" style="371" bestFit="1" customWidth="1"/>
    <col min="15891" max="16123" width="8.88671875" style="371"/>
    <col min="16124" max="16124" width="9.5546875" style="371" bestFit="1" customWidth="1"/>
    <col min="16125" max="16126" width="3.5546875" style="371" bestFit="1" customWidth="1"/>
    <col min="16127" max="16127" width="5.5546875" style="371" bestFit="1" customWidth="1"/>
    <col min="16128" max="16129" width="10.6640625" style="371" bestFit="1" customWidth="1"/>
    <col min="16130" max="16130" width="9.6640625" style="371" bestFit="1" customWidth="1"/>
    <col min="16131" max="16131" width="9.6640625" style="371" customWidth="1"/>
    <col min="16132" max="16133" width="9.6640625" style="371" bestFit="1" customWidth="1"/>
    <col min="16134" max="16134" width="8.109375" style="371" bestFit="1" customWidth="1"/>
    <col min="16135" max="16139" width="9.33203125" style="371" bestFit="1" customWidth="1"/>
    <col min="16140" max="16140" width="10.6640625" style="371" bestFit="1" customWidth="1"/>
    <col min="16141" max="16142" width="10.6640625" style="371" customWidth="1"/>
    <col min="16143" max="16144" width="11.6640625" style="371" bestFit="1" customWidth="1"/>
    <col min="16145" max="16145" width="8.88671875" style="371"/>
    <col min="16146" max="16146" width="10.33203125" style="371" bestFit="1" customWidth="1"/>
    <col min="16147" max="16384" width="8.88671875" style="371"/>
  </cols>
  <sheetData>
    <row r="3" spans="1:18" s="371" customFormat="1">
      <c r="A3" s="435" t="s">
        <v>48</v>
      </c>
      <c r="B3" s="436"/>
      <c r="C3" s="436"/>
      <c r="D3" s="436"/>
      <c r="E3" s="436"/>
      <c r="F3" s="436"/>
      <c r="G3" s="436"/>
      <c r="H3" s="436"/>
      <c r="I3" s="436"/>
      <c r="J3" s="436"/>
      <c r="K3" s="436"/>
      <c r="L3" s="436"/>
      <c r="M3" s="436"/>
      <c r="N3" s="436"/>
      <c r="O3" s="370"/>
      <c r="P3" s="370"/>
      <c r="Q3" s="370"/>
      <c r="R3" s="370"/>
    </row>
    <row r="4" spans="1:18" s="371" customFormat="1">
      <c r="A4" s="431" t="s">
        <v>709</v>
      </c>
      <c r="B4" s="431"/>
      <c r="C4" s="431"/>
      <c r="D4" s="431"/>
      <c r="E4" s="431"/>
      <c r="F4" s="431"/>
      <c r="G4" s="431"/>
      <c r="H4" s="431"/>
      <c r="I4" s="431"/>
      <c r="J4" s="431"/>
      <c r="K4" s="431"/>
      <c r="L4" s="431"/>
      <c r="M4" s="431"/>
      <c r="N4" s="431"/>
      <c r="O4" s="370"/>
      <c r="P4" s="370"/>
      <c r="Q4" s="370"/>
      <c r="R4" s="370"/>
    </row>
    <row r="5" spans="1:18" s="371" customFormat="1">
      <c r="A5" s="431" t="s">
        <v>593</v>
      </c>
      <c r="B5" s="431"/>
      <c r="C5" s="431"/>
      <c r="D5" s="431"/>
      <c r="E5" s="431"/>
      <c r="F5" s="431"/>
      <c r="G5" s="431"/>
      <c r="H5" s="431"/>
      <c r="I5" s="431"/>
      <c r="J5" s="431"/>
      <c r="K5" s="431"/>
      <c r="L5" s="431"/>
      <c r="M5" s="431"/>
      <c r="N5" s="431"/>
      <c r="O5" s="370"/>
      <c r="P5" s="370"/>
      <c r="Q5" s="370"/>
      <c r="R5" s="370"/>
    </row>
    <row r="7" spans="1:18" s="371" customFormat="1" ht="52.8">
      <c r="B7" s="212" t="s">
        <v>21</v>
      </c>
      <c r="C7" s="212" t="s">
        <v>22</v>
      </c>
      <c r="D7" s="212" t="s">
        <v>23</v>
      </c>
      <c r="E7" s="212" t="s">
        <v>24</v>
      </c>
      <c r="F7" s="372"/>
      <c r="G7" s="372"/>
      <c r="H7" s="373" t="s">
        <v>710</v>
      </c>
      <c r="I7" s="374" t="s">
        <v>711</v>
      </c>
      <c r="J7" s="374" t="s">
        <v>712</v>
      </c>
      <c r="K7" s="374" t="s">
        <v>713</v>
      </c>
      <c r="L7" s="374" t="s">
        <v>714</v>
      </c>
      <c r="M7" s="374" t="s">
        <v>715</v>
      </c>
      <c r="N7" s="374" t="s">
        <v>716</v>
      </c>
      <c r="O7" s="375"/>
      <c r="P7" s="375"/>
      <c r="Q7" s="370"/>
      <c r="R7" s="375"/>
    </row>
    <row r="8" spans="1:18" s="371" customFormat="1" ht="26.4">
      <c r="A8" s="214" t="s">
        <v>663</v>
      </c>
      <c r="B8" s="376"/>
      <c r="C8" s="376"/>
      <c r="D8" s="376"/>
      <c r="E8" s="376"/>
      <c r="F8" s="377"/>
      <c r="G8" s="377"/>
      <c r="H8" s="378" t="s">
        <v>717</v>
      </c>
      <c r="I8" s="377" t="s">
        <v>718</v>
      </c>
      <c r="J8" s="377" t="s">
        <v>719</v>
      </c>
      <c r="K8" s="377" t="s">
        <v>720</v>
      </c>
      <c r="L8" s="377" t="s">
        <v>721</v>
      </c>
      <c r="M8" s="377" t="s">
        <v>722</v>
      </c>
      <c r="N8" s="377" t="s">
        <v>723</v>
      </c>
      <c r="O8" s="370"/>
      <c r="P8" s="370"/>
      <c r="Q8" s="370"/>
      <c r="R8" s="370"/>
    </row>
    <row r="9" spans="1:18" s="371" customFormat="1" ht="15">
      <c r="B9" s="216">
        <v>2013</v>
      </c>
      <c r="C9" s="216">
        <v>1</v>
      </c>
      <c r="D9" s="216">
        <v>14</v>
      </c>
      <c r="E9" s="216">
        <v>1900</v>
      </c>
      <c r="F9" s="379"/>
      <c r="G9" s="379"/>
      <c r="H9" s="380">
        <v>2627000</v>
      </c>
      <c r="I9" s="381">
        <v>685906.2395218719</v>
      </c>
      <c r="J9" s="381">
        <v>482357.0199826376</v>
      </c>
      <c r="K9" s="381">
        <v>568006.63538260909</v>
      </c>
      <c r="L9" s="381">
        <v>422462.19297569088</v>
      </c>
      <c r="M9" s="381">
        <v>39848.206273965283</v>
      </c>
      <c r="N9" s="381">
        <v>428419.70586322516</v>
      </c>
      <c r="O9" s="370"/>
      <c r="P9" s="382"/>
      <c r="Q9" s="383"/>
      <c r="R9" s="382"/>
    </row>
    <row r="10" spans="1:18" s="371" customFormat="1" ht="14.4">
      <c r="B10" s="216">
        <v>2013</v>
      </c>
      <c r="C10" s="216">
        <v>2</v>
      </c>
      <c r="D10" s="216">
        <v>14</v>
      </c>
      <c r="E10" s="216">
        <v>800</v>
      </c>
      <c r="F10" s="379"/>
      <c r="G10" s="379"/>
      <c r="H10" s="380">
        <v>2627000</v>
      </c>
      <c r="I10" s="381">
        <v>685906.2395218719</v>
      </c>
      <c r="J10" s="381">
        <v>482357.0199826376</v>
      </c>
      <c r="K10" s="381">
        <v>568006.63538260909</v>
      </c>
      <c r="L10" s="381">
        <v>422462.19297569088</v>
      </c>
      <c r="M10" s="381">
        <v>39848.206273965283</v>
      </c>
      <c r="N10" s="381">
        <v>428419.70586322516</v>
      </c>
      <c r="O10" s="370"/>
      <c r="P10" s="382"/>
      <c r="Q10" s="370"/>
      <c r="R10" s="382"/>
    </row>
    <row r="11" spans="1:18" s="371" customFormat="1" ht="14.4">
      <c r="B11" s="216">
        <v>2013</v>
      </c>
      <c r="C11" s="216">
        <v>3</v>
      </c>
      <c r="D11" s="216">
        <v>27</v>
      </c>
      <c r="E11" s="216">
        <v>800</v>
      </c>
      <c r="F11" s="379"/>
      <c r="G11" s="379"/>
      <c r="H11" s="380">
        <v>2627000</v>
      </c>
      <c r="I11" s="381">
        <v>685906.2395218719</v>
      </c>
      <c r="J11" s="381">
        <v>482357.0199826376</v>
      </c>
      <c r="K11" s="381">
        <v>568006.63538260909</v>
      </c>
      <c r="L11" s="381">
        <v>422462.19297569088</v>
      </c>
      <c r="M11" s="381">
        <v>39848.206273965283</v>
      </c>
      <c r="N11" s="381">
        <v>428419.70586322516</v>
      </c>
      <c r="O11" s="370"/>
      <c r="P11" s="382"/>
      <c r="Q11" s="370"/>
      <c r="R11" s="382"/>
    </row>
    <row r="12" spans="1:18" s="371" customFormat="1" ht="14.4">
      <c r="B12" s="216">
        <v>2013</v>
      </c>
      <c r="C12" s="216">
        <v>4</v>
      </c>
      <c r="D12" s="216">
        <v>17</v>
      </c>
      <c r="E12" s="216">
        <v>1700</v>
      </c>
      <c r="F12" s="379"/>
      <c r="G12" s="379"/>
      <c r="H12" s="380">
        <v>2647000</v>
      </c>
      <c r="I12" s="381">
        <v>691128.21317639702</v>
      </c>
      <c r="J12" s="381">
        <v>486029.32314200298</v>
      </c>
      <c r="K12" s="381">
        <v>572331.0102237406</v>
      </c>
      <c r="L12" s="381">
        <v>425678.50202004332</v>
      </c>
      <c r="M12" s="381">
        <v>40151.580512823035</v>
      </c>
      <c r="N12" s="381">
        <v>431681.37092499319</v>
      </c>
      <c r="O12" s="370"/>
      <c r="P12" s="382"/>
      <c r="Q12" s="370"/>
      <c r="R12" s="382"/>
    </row>
    <row r="13" spans="1:18" s="371" customFormat="1" ht="14.4">
      <c r="B13" s="216">
        <v>2013</v>
      </c>
      <c r="C13" s="216">
        <v>5</v>
      </c>
      <c r="D13" s="216">
        <v>20</v>
      </c>
      <c r="E13" s="216">
        <v>1600</v>
      </c>
      <c r="F13" s="379"/>
      <c r="G13" s="379"/>
      <c r="H13" s="380">
        <v>2647000</v>
      </c>
      <c r="I13" s="381">
        <v>691128.21317639702</v>
      </c>
      <c r="J13" s="381">
        <v>486029.32314200298</v>
      </c>
      <c r="K13" s="381">
        <v>572331.0102237406</v>
      </c>
      <c r="L13" s="381">
        <v>425678.50202004332</v>
      </c>
      <c r="M13" s="381">
        <v>40151.580512823035</v>
      </c>
      <c r="N13" s="381">
        <v>431681.37092499319</v>
      </c>
      <c r="O13" s="370"/>
      <c r="P13" s="382"/>
      <c r="Q13" s="370"/>
      <c r="R13" s="382"/>
    </row>
    <row r="14" spans="1:18" s="371" customFormat="1" ht="14.4">
      <c r="B14" s="216">
        <v>2013</v>
      </c>
      <c r="C14" s="216">
        <v>6</v>
      </c>
      <c r="D14" s="216">
        <v>27</v>
      </c>
      <c r="E14" s="216">
        <v>1700</v>
      </c>
      <c r="F14" s="379"/>
      <c r="G14" s="379"/>
      <c r="H14" s="380">
        <v>2591000</v>
      </c>
      <c r="I14" s="381">
        <v>676506.68694372673</v>
      </c>
      <c r="J14" s="381">
        <v>475746.87429578003</v>
      </c>
      <c r="K14" s="381">
        <v>560222.76066857262</v>
      </c>
      <c r="L14" s="381">
        <v>416672.83669585653</v>
      </c>
      <c r="M14" s="381">
        <v>39302.132644021338</v>
      </c>
      <c r="N14" s="381">
        <v>422548.70875204279</v>
      </c>
      <c r="O14" s="370"/>
      <c r="P14" s="382"/>
      <c r="Q14" s="370"/>
      <c r="R14" s="382"/>
    </row>
    <row r="15" spans="1:18" s="371" customFormat="1" ht="14.4">
      <c r="B15" s="216">
        <v>2013</v>
      </c>
      <c r="C15" s="216">
        <v>7</v>
      </c>
      <c r="D15" s="216">
        <v>10</v>
      </c>
      <c r="E15" s="216">
        <v>1600</v>
      </c>
      <c r="F15" s="379"/>
      <c r="G15" s="379"/>
      <c r="H15" s="380">
        <v>2591000</v>
      </c>
      <c r="I15" s="381">
        <v>676506.68694372673</v>
      </c>
      <c r="J15" s="381">
        <v>475746.87429578003</v>
      </c>
      <c r="K15" s="381">
        <v>560222.76066857262</v>
      </c>
      <c r="L15" s="381">
        <v>416672.83669585653</v>
      </c>
      <c r="M15" s="381">
        <v>39302.132644021338</v>
      </c>
      <c r="N15" s="381">
        <v>422548.70875204279</v>
      </c>
      <c r="O15" s="370"/>
      <c r="P15" s="382"/>
      <c r="Q15" s="370"/>
      <c r="R15" s="382"/>
    </row>
    <row r="16" spans="1:18" s="371" customFormat="1" ht="14.4">
      <c r="B16" s="216">
        <v>2013</v>
      </c>
      <c r="C16" s="216">
        <v>8</v>
      </c>
      <c r="D16" s="216">
        <v>8</v>
      </c>
      <c r="E16" s="216">
        <v>1700</v>
      </c>
      <c r="F16" s="379"/>
      <c r="G16" s="379"/>
      <c r="H16" s="380">
        <v>2591000</v>
      </c>
      <c r="I16" s="381">
        <v>676506.68694372673</v>
      </c>
      <c r="J16" s="381">
        <v>475746.87429578003</v>
      </c>
      <c r="K16" s="381">
        <v>560222.76066857262</v>
      </c>
      <c r="L16" s="381">
        <v>416672.83669585653</v>
      </c>
      <c r="M16" s="381">
        <v>39302.132644021338</v>
      </c>
      <c r="N16" s="381">
        <v>422548.70875204279</v>
      </c>
      <c r="O16" s="370"/>
      <c r="P16" s="382"/>
      <c r="Q16" s="370"/>
      <c r="R16" s="382"/>
    </row>
    <row r="17" spans="1:18" s="371" customFormat="1" ht="14.4">
      <c r="B17" s="216">
        <v>2013</v>
      </c>
      <c r="C17" s="216">
        <v>9</v>
      </c>
      <c r="D17" s="216">
        <v>3</v>
      </c>
      <c r="E17" s="216">
        <v>1600</v>
      </c>
      <c r="F17" s="379"/>
      <c r="G17" s="379"/>
      <c r="H17" s="380">
        <v>2591000</v>
      </c>
      <c r="I17" s="381">
        <v>676506.68694372673</v>
      </c>
      <c r="J17" s="381">
        <v>475746.87429578003</v>
      </c>
      <c r="K17" s="381">
        <v>560222.76066857262</v>
      </c>
      <c r="L17" s="381">
        <v>416672.83669585653</v>
      </c>
      <c r="M17" s="381">
        <v>39302.132644021338</v>
      </c>
      <c r="N17" s="381">
        <v>422548.70875204279</v>
      </c>
      <c r="O17" s="370"/>
      <c r="P17" s="382"/>
      <c r="Q17" s="370"/>
      <c r="R17" s="382"/>
    </row>
    <row r="18" spans="1:18" s="371" customFormat="1" ht="14.4">
      <c r="B18" s="216">
        <v>2013</v>
      </c>
      <c r="C18" s="216">
        <v>10</v>
      </c>
      <c r="D18" s="216">
        <v>3</v>
      </c>
      <c r="E18" s="216">
        <v>1600</v>
      </c>
      <c r="F18" s="379"/>
      <c r="G18" s="379"/>
      <c r="H18" s="380">
        <v>2591000</v>
      </c>
      <c r="I18" s="381">
        <v>676506.68694372673</v>
      </c>
      <c r="J18" s="381">
        <v>475746.87429578003</v>
      </c>
      <c r="K18" s="381">
        <v>560222.76066857262</v>
      </c>
      <c r="L18" s="381">
        <v>416672.83669585653</v>
      </c>
      <c r="M18" s="381">
        <v>39302.132644021338</v>
      </c>
      <c r="N18" s="381">
        <v>422548.70875204279</v>
      </c>
      <c r="O18" s="370"/>
      <c r="P18" s="382"/>
      <c r="Q18" s="370"/>
      <c r="R18" s="382"/>
    </row>
    <row r="19" spans="1:18" s="371" customFormat="1" ht="14.4">
      <c r="B19" s="216">
        <v>2013</v>
      </c>
      <c r="C19" s="216">
        <v>11</v>
      </c>
      <c r="D19" s="216">
        <v>28</v>
      </c>
      <c r="E19" s="216">
        <v>900</v>
      </c>
      <c r="F19" s="379"/>
      <c r="G19" s="379"/>
      <c r="H19" s="380">
        <v>2591000</v>
      </c>
      <c r="I19" s="381">
        <v>676506.68694372673</v>
      </c>
      <c r="J19" s="381">
        <v>475746.87429578003</v>
      </c>
      <c r="K19" s="381">
        <v>560222.76066857262</v>
      </c>
      <c r="L19" s="381">
        <v>416672.83669585653</v>
      </c>
      <c r="M19" s="381">
        <v>39302.132644021338</v>
      </c>
      <c r="N19" s="381">
        <v>422548.70875204279</v>
      </c>
      <c r="O19" s="370"/>
      <c r="P19" s="382"/>
      <c r="Q19" s="370"/>
      <c r="R19" s="382"/>
    </row>
    <row r="20" spans="1:18" s="371" customFormat="1" ht="14.4">
      <c r="B20" s="216">
        <v>2013</v>
      </c>
      <c r="C20" s="216">
        <v>12</v>
      </c>
      <c r="D20" s="216">
        <v>16</v>
      </c>
      <c r="E20" s="216">
        <v>800</v>
      </c>
      <c r="F20" s="384"/>
      <c r="G20" s="384"/>
      <c r="H20" s="385">
        <v>2591000</v>
      </c>
      <c r="I20" s="386">
        <v>676506.68694372673</v>
      </c>
      <c r="J20" s="386">
        <v>475746.87429578003</v>
      </c>
      <c r="K20" s="386">
        <v>560222.76066857262</v>
      </c>
      <c r="L20" s="386">
        <v>416672.83669585653</v>
      </c>
      <c r="M20" s="386">
        <v>39302.132644021338</v>
      </c>
      <c r="N20" s="386">
        <v>422548.70875204279</v>
      </c>
      <c r="O20" s="370"/>
      <c r="P20" s="382"/>
      <c r="Q20" s="370"/>
      <c r="R20" s="382"/>
    </row>
    <row r="21" spans="1:18" s="371" customFormat="1">
      <c r="F21" s="384"/>
      <c r="G21" s="384"/>
      <c r="H21" s="384"/>
      <c r="I21" s="384"/>
      <c r="J21" s="384"/>
      <c r="K21" s="384"/>
      <c r="L21" s="384"/>
      <c r="M21" s="384"/>
      <c r="N21" s="379"/>
      <c r="O21" s="370"/>
      <c r="P21" s="370"/>
      <c r="Q21" s="370"/>
      <c r="R21" s="370"/>
    </row>
    <row r="22" spans="1:18" s="371" customFormat="1" ht="13.8" thickBot="1">
      <c r="D22" s="437" t="s">
        <v>20</v>
      </c>
      <c r="E22" s="437"/>
      <c r="F22" s="387"/>
      <c r="G22" s="388"/>
      <c r="H22" s="389">
        <v>31312000</v>
      </c>
      <c r="I22" s="389">
        <v>8175521.9535244964</v>
      </c>
      <c r="J22" s="389">
        <v>5749357.8263023803</v>
      </c>
      <c r="K22" s="389">
        <v>6770241.2512753187</v>
      </c>
      <c r="L22" s="389">
        <v>5035453.4398381542</v>
      </c>
      <c r="M22" s="389">
        <v>474962.7083556914</v>
      </c>
      <c r="N22" s="389">
        <v>5106462.82070396</v>
      </c>
      <c r="O22" s="382"/>
      <c r="P22" s="382"/>
      <c r="Q22" s="370"/>
      <c r="R22" s="370"/>
    </row>
    <row r="23" spans="1:18" s="371" customFormat="1" ht="13.8" thickTop="1">
      <c r="E23" s="390"/>
      <c r="F23" s="391"/>
      <c r="G23" s="391"/>
      <c r="H23" s="392">
        <v>0</v>
      </c>
      <c r="I23" s="392">
        <v>0</v>
      </c>
      <c r="J23" s="392">
        <v>0</v>
      </c>
      <c r="K23" s="392">
        <v>0</v>
      </c>
      <c r="L23" s="392">
        <v>0</v>
      </c>
      <c r="M23" s="392">
        <v>0</v>
      </c>
      <c r="N23" s="392">
        <v>0</v>
      </c>
      <c r="O23" s="382"/>
      <c r="P23" s="382"/>
      <c r="Q23" s="370"/>
      <c r="R23" s="370"/>
    </row>
    <row r="24" spans="1:18" s="371" customFormat="1">
      <c r="C24" s="437" t="s">
        <v>656</v>
      </c>
      <c r="D24" s="437"/>
      <c r="E24" s="437"/>
      <c r="F24" s="391"/>
      <c r="G24" s="391"/>
      <c r="H24" s="391"/>
      <c r="I24" s="391"/>
      <c r="J24" s="391"/>
      <c r="K24" s="391"/>
      <c r="L24" s="391"/>
      <c r="M24" s="391"/>
      <c r="N24" s="391"/>
      <c r="O24" s="382"/>
      <c r="P24" s="382"/>
      <c r="Q24" s="370"/>
      <c r="R24" s="382"/>
    </row>
    <row r="25" spans="1:18" s="371" customFormat="1" ht="14.4">
      <c r="E25" s="390"/>
      <c r="F25"/>
      <c r="G25" s="393" t="s">
        <v>724</v>
      </c>
      <c r="H25" s="393" t="s">
        <v>20</v>
      </c>
      <c r="I25" s="393" t="s">
        <v>34</v>
      </c>
      <c r="J25" s="393" t="s">
        <v>35</v>
      </c>
      <c r="K25" s="393" t="s">
        <v>36</v>
      </c>
      <c r="L25" s="393" t="s">
        <v>37</v>
      </c>
      <c r="M25" s="393" t="s">
        <v>38</v>
      </c>
      <c r="N25" s="393" t="s">
        <v>25</v>
      </c>
      <c r="O25" s="382"/>
      <c r="P25" s="382"/>
      <c r="Q25" s="370"/>
      <c r="R25" s="370"/>
    </row>
    <row r="26" spans="1:18" s="370" customFormat="1" ht="14.4">
      <c r="A26" s="432" t="s">
        <v>725</v>
      </c>
      <c r="B26" s="432"/>
      <c r="C26" s="432"/>
      <c r="D26" s="432"/>
      <c r="E26" s="432"/>
      <c r="F26" s="432"/>
      <c r="G26" s="394" t="s">
        <v>305</v>
      </c>
      <c r="H26" s="381">
        <v>5810170185.3999996</v>
      </c>
      <c r="I26" s="381">
        <v>1527970107.95</v>
      </c>
      <c r="J26" s="381">
        <v>1068582307.5</v>
      </c>
      <c r="K26" s="381">
        <v>1256106502.8899999</v>
      </c>
      <c r="L26" s="381">
        <v>926236016.32000005</v>
      </c>
      <c r="M26" s="381">
        <v>89641045.810000002</v>
      </c>
      <c r="N26" s="381">
        <v>941634204.92999983</v>
      </c>
      <c r="P26" s="382"/>
    </row>
    <row r="27" spans="1:18" s="371" customFormat="1" ht="14.4">
      <c r="A27" s="432" t="s">
        <v>170</v>
      </c>
      <c r="B27" s="432"/>
      <c r="C27" s="432"/>
      <c r="D27" s="432"/>
      <c r="E27" s="432"/>
      <c r="F27" s="432"/>
      <c r="G27" s="395" t="s">
        <v>477</v>
      </c>
      <c r="H27" s="386">
        <v>134428000.16</v>
      </c>
      <c r="I27" s="386">
        <v>46041299.889999993</v>
      </c>
      <c r="J27" s="386">
        <v>26430009.57</v>
      </c>
      <c r="K27" s="386">
        <v>28904667.360000007</v>
      </c>
      <c r="L27" s="386">
        <v>13488970.130000001</v>
      </c>
      <c r="M27" s="386">
        <v>3547347.5399999996</v>
      </c>
      <c r="N27" s="386">
        <v>16015705.67</v>
      </c>
      <c r="O27" s="370"/>
      <c r="P27" s="370"/>
      <c r="Q27" s="370"/>
      <c r="R27" s="370"/>
    </row>
    <row r="28" spans="1:18" s="371" customFormat="1" ht="15" thickBot="1">
      <c r="A28" s="433" t="s">
        <v>171</v>
      </c>
      <c r="B28" s="433"/>
      <c r="C28" s="433"/>
      <c r="D28" s="433"/>
      <c r="E28" s="433"/>
      <c r="F28" s="433"/>
      <c r="G28" s="396"/>
      <c r="H28" s="397">
        <v>5675742185.2399998</v>
      </c>
      <c r="I28" s="397">
        <v>1481928808.0599999</v>
      </c>
      <c r="J28" s="397">
        <v>1042152297.9299999</v>
      </c>
      <c r="K28" s="397">
        <v>1227201835.53</v>
      </c>
      <c r="L28" s="397">
        <v>912747046.19000006</v>
      </c>
      <c r="M28" s="397">
        <v>86093698.269999996</v>
      </c>
      <c r="N28" s="397">
        <v>925618499.25999987</v>
      </c>
      <c r="O28" s="370"/>
      <c r="P28" s="370"/>
      <c r="Q28" s="370"/>
      <c r="R28" s="370"/>
    </row>
    <row r="29" spans="1:18" s="371" customFormat="1" ht="15" thickTop="1">
      <c r="A29" s="434" t="s">
        <v>726</v>
      </c>
      <c r="B29" s="434"/>
      <c r="C29" s="434"/>
      <c r="D29" s="434"/>
      <c r="E29" s="434"/>
      <c r="F29" s="434"/>
      <c r="G29" s="396"/>
      <c r="H29" s="398">
        <v>1</v>
      </c>
      <c r="I29" s="399">
        <v>0.26109868272625503</v>
      </c>
      <c r="J29" s="399">
        <v>0.18361515796826708</v>
      </c>
      <c r="K29" s="399">
        <v>0.21621874205656991</v>
      </c>
      <c r="L29" s="399">
        <v>0.1608154522176212</v>
      </c>
      <c r="M29" s="399">
        <v>1.5168711942887433E-2</v>
      </c>
      <c r="N29" s="399">
        <v>0.16308325308839938</v>
      </c>
      <c r="O29" s="370"/>
      <c r="P29" s="370"/>
      <c r="Q29" s="370"/>
      <c r="R29" s="370"/>
    </row>
    <row r="30" spans="1:18" s="371" customFormat="1">
      <c r="F30" s="391"/>
      <c r="G30" s="391"/>
      <c r="H30" s="400"/>
      <c r="I30" s="400"/>
      <c r="J30" s="400"/>
      <c r="K30" s="401"/>
      <c r="L30" s="402"/>
      <c r="M30" s="402"/>
      <c r="N30" s="11"/>
      <c r="O30" s="370"/>
      <c r="P30" s="370"/>
      <c r="Q30" s="370"/>
      <c r="R30" s="370"/>
    </row>
    <row r="31" spans="1:18" s="371" customFormat="1">
      <c r="B31" s="371" t="s">
        <v>621</v>
      </c>
      <c r="O31" s="370"/>
      <c r="P31" s="370"/>
      <c r="Q31" s="370"/>
      <c r="R31" s="370"/>
    </row>
    <row r="32" spans="1:18" s="371" customFormat="1">
      <c r="A32" s="403" t="s">
        <v>701</v>
      </c>
      <c r="B32" s="370"/>
      <c r="O32" s="370"/>
      <c r="P32" s="370"/>
      <c r="Q32" s="370"/>
      <c r="R32" s="370"/>
    </row>
    <row r="33" spans="1:2" s="371" customFormat="1">
      <c r="A33" s="404" t="s">
        <v>12</v>
      </c>
      <c r="B33" s="371" t="s">
        <v>727</v>
      </c>
    </row>
    <row r="34" spans="1:2" s="371" customFormat="1">
      <c r="A34" s="404"/>
    </row>
  </sheetData>
  <mergeCells count="9">
    <mergeCell ref="A27:F27"/>
    <mergeCell ref="A28:F28"/>
    <mergeCell ref="A29:F29"/>
    <mergeCell ref="A3:N3"/>
    <mergeCell ref="A4:N4"/>
    <mergeCell ref="A5:N5"/>
    <mergeCell ref="D22:E22"/>
    <mergeCell ref="C24:E24"/>
    <mergeCell ref="A26:F26"/>
  </mergeCells>
  <printOptions horizontalCentered="1"/>
  <pageMargins left="0.7" right="0.7" top="0.75" bottom="0.75" header="0.3" footer="0.3"/>
  <pageSetup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heetViews>
  <sheetFormatPr defaultColWidth="9.109375" defaultRowHeight="13.2"/>
  <cols>
    <col min="1" max="1" width="17.6640625" style="61" customWidth="1"/>
    <col min="2" max="3" width="9.109375" style="61"/>
    <col min="4" max="4" width="13.88671875" style="61" customWidth="1"/>
    <col min="5" max="5" width="12.44140625" style="61" customWidth="1"/>
    <col min="6" max="6" width="2.88671875" style="61" customWidth="1"/>
    <col min="7" max="7" width="13" style="61" customWidth="1"/>
    <col min="8" max="8" width="10.109375" style="61" bestFit="1" customWidth="1"/>
    <col min="9" max="16384" width="9.109375" style="61"/>
  </cols>
  <sheetData>
    <row r="1" spans="1:6">
      <c r="A1" s="58" t="s">
        <v>0</v>
      </c>
      <c r="B1" s="59"/>
      <c r="C1" s="60"/>
      <c r="D1" s="60"/>
      <c r="E1" s="60"/>
    </row>
    <row r="2" spans="1:6">
      <c r="A2" s="58" t="s">
        <v>111</v>
      </c>
      <c r="B2" s="59"/>
      <c r="C2" s="60"/>
      <c r="D2" s="60"/>
      <c r="E2" s="60"/>
    </row>
    <row r="3" spans="1:6">
      <c r="A3" s="58" t="s">
        <v>676</v>
      </c>
      <c r="B3" s="59"/>
      <c r="C3" s="60"/>
      <c r="D3" s="60"/>
      <c r="E3" s="60"/>
    </row>
    <row r="6" spans="1:6">
      <c r="D6" s="62" t="s">
        <v>112</v>
      </c>
      <c r="E6" s="62" t="s">
        <v>113</v>
      </c>
    </row>
    <row r="7" spans="1:6">
      <c r="A7" s="63" t="s">
        <v>114</v>
      </c>
      <c r="D7" s="64">
        <v>0.35</v>
      </c>
      <c r="E7" s="65">
        <v>6.5000000000000002E-2</v>
      </c>
      <c r="F7" s="66"/>
    </row>
    <row r="8" spans="1:6">
      <c r="A8" s="63" t="s">
        <v>115</v>
      </c>
      <c r="D8" s="64">
        <v>0.35</v>
      </c>
      <c r="E8" s="65">
        <v>0.08</v>
      </c>
      <c r="F8" s="67" t="s">
        <v>116</v>
      </c>
    </row>
    <row r="9" spans="1:6">
      <c r="A9" s="63" t="s">
        <v>117</v>
      </c>
      <c r="D9" s="64">
        <v>0.35</v>
      </c>
      <c r="E9" s="65">
        <v>0.05</v>
      </c>
    </row>
    <row r="10" spans="1:6">
      <c r="A10" s="61" t="s">
        <v>118</v>
      </c>
      <c r="D10" s="64">
        <v>0.35</v>
      </c>
      <c r="E10" s="65">
        <v>0</v>
      </c>
    </row>
    <row r="11" spans="1:6">
      <c r="E11" s="65"/>
    </row>
    <row r="12" spans="1:6">
      <c r="E12" s="65"/>
    </row>
    <row r="13" spans="1:6">
      <c r="E13" s="65"/>
    </row>
    <row r="14" spans="1:6">
      <c r="E14" s="65"/>
    </row>
    <row r="15" spans="1:6">
      <c r="E15" s="65"/>
    </row>
    <row r="16" spans="1:6">
      <c r="E16" s="65"/>
    </row>
    <row r="17" spans="1:5">
      <c r="E17" s="65"/>
    </row>
    <row r="18" spans="1:5">
      <c r="E18" s="65"/>
    </row>
    <row r="19" spans="1:5">
      <c r="E19" s="65"/>
    </row>
    <row r="20" spans="1:5">
      <c r="E20" s="65"/>
    </row>
    <row r="21" spans="1:5">
      <c r="E21" s="65"/>
    </row>
    <row r="24" spans="1:5">
      <c r="A24" s="68" t="s">
        <v>119</v>
      </c>
    </row>
  </sheetData>
  <phoneticPr fontId="38" type="noConversion"/>
  <printOptions horizontalCentered="1"/>
  <pageMargins left="0.7" right="0.7" top="0.75" bottom="0.75" header="0.3" footer="0.3"/>
  <pageSetup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G9" sqref="G9"/>
    </sheetView>
  </sheetViews>
  <sheetFormatPr defaultRowHeight="14.4"/>
  <cols>
    <col min="1" max="1" width="27" customWidth="1"/>
    <col min="2" max="2" width="2" customWidth="1"/>
    <col min="3" max="3" width="10.88671875" customWidth="1"/>
    <col min="4" max="4" width="2" customWidth="1"/>
    <col min="5" max="5" width="9.88671875" customWidth="1"/>
    <col min="6" max="6" width="2.33203125" customWidth="1"/>
    <col min="7" max="7" width="9.88671875" customWidth="1"/>
    <col min="8" max="8" width="2.33203125" customWidth="1"/>
    <col min="9" max="9" width="9.88671875" customWidth="1"/>
    <col min="10" max="10" width="2.33203125" customWidth="1"/>
    <col min="11" max="11" width="8.33203125" customWidth="1"/>
    <col min="12" max="12" width="2.33203125" customWidth="1"/>
    <col min="13" max="13" width="9.88671875" customWidth="1"/>
    <col min="14" max="14" width="2.33203125" customWidth="1"/>
  </cols>
  <sheetData>
    <row r="1" spans="1:13">
      <c r="A1" s="438" t="s">
        <v>0</v>
      </c>
      <c r="B1" s="438"/>
      <c r="C1" s="438"/>
      <c r="D1" s="438"/>
      <c r="E1" s="438"/>
      <c r="F1" s="438"/>
      <c r="G1" s="438"/>
      <c r="H1" s="438"/>
      <c r="I1" s="438"/>
      <c r="J1" s="438"/>
      <c r="K1" s="438"/>
      <c r="L1" s="438"/>
      <c r="M1" s="438"/>
    </row>
    <row r="2" spans="1:13">
      <c r="A2" s="438" t="s">
        <v>49</v>
      </c>
      <c r="B2" s="438"/>
      <c r="C2" s="438"/>
      <c r="D2" s="438"/>
      <c r="E2" s="438"/>
      <c r="F2" s="438"/>
      <c r="G2" s="438"/>
      <c r="H2" s="438"/>
      <c r="I2" s="438"/>
      <c r="J2" s="438"/>
      <c r="K2" s="438"/>
      <c r="L2" s="438"/>
      <c r="M2" s="438"/>
    </row>
    <row r="3" spans="1:13">
      <c r="A3" s="438" t="s">
        <v>50</v>
      </c>
      <c r="B3" s="438"/>
      <c r="C3" s="438"/>
      <c r="D3" s="438"/>
      <c r="E3" s="438"/>
      <c r="F3" s="438"/>
      <c r="G3" s="438"/>
      <c r="H3" s="438"/>
      <c r="I3" s="438"/>
      <c r="J3" s="438"/>
      <c r="K3" s="438"/>
      <c r="L3" s="438"/>
      <c r="M3" s="438"/>
    </row>
    <row r="4" spans="1:13">
      <c r="A4" s="438" t="s">
        <v>624</v>
      </c>
      <c r="B4" s="438"/>
      <c r="C4" s="438"/>
      <c r="D4" s="438"/>
      <c r="E4" s="438"/>
      <c r="F4" s="438"/>
      <c r="G4" s="438"/>
      <c r="H4" s="438"/>
      <c r="I4" s="438"/>
      <c r="J4" s="438"/>
      <c r="K4" s="438"/>
      <c r="L4" s="438"/>
      <c r="M4" s="438"/>
    </row>
    <row r="6" spans="1:13" ht="15" thickBot="1"/>
    <row r="7" spans="1:13" s="22" customFormat="1">
      <c r="A7" s="21" t="s">
        <v>51</v>
      </c>
      <c r="C7" s="21" t="s">
        <v>34</v>
      </c>
      <c r="E7" s="21" t="s">
        <v>35</v>
      </c>
      <c r="G7" s="21" t="s">
        <v>36</v>
      </c>
      <c r="I7" s="21" t="s">
        <v>37</v>
      </c>
      <c r="K7" s="23" t="s">
        <v>38</v>
      </c>
      <c r="M7" s="24" t="s">
        <v>25</v>
      </c>
    </row>
    <row r="8" spans="1:13" ht="8.25" customHeight="1">
      <c r="M8" s="25"/>
    </row>
    <row r="9" spans="1:13">
      <c r="A9" t="s">
        <v>52</v>
      </c>
      <c r="C9" s="84">
        <v>10162141.65</v>
      </c>
      <c r="D9" s="84"/>
      <c r="E9" s="84">
        <v>7172324.6500000004</v>
      </c>
      <c r="F9" s="84"/>
      <c r="G9" s="84">
        <v>8245529</v>
      </c>
      <c r="H9" s="84"/>
      <c r="I9" s="84">
        <v>1728435.74</v>
      </c>
      <c r="J9" s="84"/>
      <c r="K9" s="84">
        <v>715848.45000000007</v>
      </c>
      <c r="L9" s="84"/>
      <c r="M9" s="85">
        <v>1837464</v>
      </c>
    </row>
    <row r="10" spans="1:13">
      <c r="A10" t="s">
        <v>53</v>
      </c>
      <c r="C10" s="84">
        <v>199.54000000000002</v>
      </c>
      <c r="D10" s="84"/>
      <c r="E10" s="84">
        <v>184.01</v>
      </c>
      <c r="F10" s="84"/>
      <c r="G10" s="84">
        <v>204.20999999999998</v>
      </c>
      <c r="H10" s="84"/>
      <c r="I10" s="84">
        <v>31.540000000000003</v>
      </c>
      <c r="J10" s="84"/>
      <c r="K10" s="84">
        <v>11.41</v>
      </c>
      <c r="L10" s="84"/>
      <c r="M10" s="85">
        <v>29.52</v>
      </c>
    </row>
    <row r="11" spans="1:13">
      <c r="A11" t="s">
        <v>54</v>
      </c>
      <c r="C11" s="84">
        <v>66.94</v>
      </c>
      <c r="D11" s="84"/>
      <c r="E11" s="84">
        <v>59.23</v>
      </c>
      <c r="F11" s="84"/>
      <c r="G11" s="84">
        <v>68.55</v>
      </c>
      <c r="H11" s="84"/>
      <c r="I11" s="84">
        <v>15.61</v>
      </c>
      <c r="J11" s="84"/>
      <c r="K11" s="84">
        <v>6.37</v>
      </c>
      <c r="L11" s="84"/>
      <c r="M11" s="85">
        <v>16.25</v>
      </c>
    </row>
    <row r="12" spans="1:13">
      <c r="A12" t="s">
        <v>55</v>
      </c>
      <c r="C12" s="84">
        <v>728350.81</v>
      </c>
      <c r="D12" s="84"/>
      <c r="E12" s="84">
        <v>541561.93999999994</v>
      </c>
      <c r="F12" s="84"/>
      <c r="G12" s="84">
        <v>800944.0199999999</v>
      </c>
      <c r="H12" s="84"/>
      <c r="I12" s="84">
        <v>350097.28</v>
      </c>
      <c r="J12" s="84"/>
      <c r="K12" s="84">
        <v>134244.29999999999</v>
      </c>
      <c r="L12" s="84"/>
      <c r="M12" s="85">
        <v>357416.18000000005</v>
      </c>
    </row>
    <row r="13" spans="1:13">
      <c r="A13" t="s">
        <v>56</v>
      </c>
      <c r="C13" s="84">
        <v>70444.87999999999</v>
      </c>
      <c r="D13" s="84"/>
      <c r="E13" s="84">
        <v>52629.14</v>
      </c>
      <c r="F13" s="84"/>
      <c r="G13" s="84">
        <v>81317.959999999992</v>
      </c>
      <c r="H13" s="84"/>
      <c r="I13" s="84">
        <v>31964.09</v>
      </c>
      <c r="J13" s="84"/>
      <c r="K13" s="84">
        <v>12565.150000000001</v>
      </c>
      <c r="L13" s="84"/>
      <c r="M13" s="85">
        <v>33846.879999999997</v>
      </c>
    </row>
    <row r="14" spans="1:13">
      <c r="A14" t="s">
        <v>57</v>
      </c>
      <c r="C14" s="84">
        <v>380.65000000000003</v>
      </c>
      <c r="D14" s="84"/>
      <c r="E14" s="84">
        <v>279.77999999999997</v>
      </c>
      <c r="F14" s="84"/>
      <c r="G14" s="84">
        <v>417.16</v>
      </c>
      <c r="H14" s="84"/>
      <c r="I14" s="84">
        <v>190.12</v>
      </c>
      <c r="J14" s="84"/>
      <c r="K14" s="84">
        <v>73.08</v>
      </c>
      <c r="L14" s="84"/>
      <c r="M14" s="85">
        <v>194.01000000000002</v>
      </c>
    </row>
    <row r="15" spans="1:13" ht="15" thickBot="1">
      <c r="A15" t="s">
        <v>58</v>
      </c>
      <c r="C15" s="86">
        <f>SUM(C9:C14)</f>
        <v>10961584.470000001</v>
      </c>
      <c r="D15" s="84"/>
      <c r="E15" s="86">
        <f>SUM(E9:E14)</f>
        <v>7767038.75</v>
      </c>
      <c r="F15" s="84"/>
      <c r="G15" s="86">
        <f>SUM(G9:G14)</f>
        <v>9128480.9000000004</v>
      </c>
      <c r="H15" s="84"/>
      <c r="I15" s="86">
        <f>SUM(I9:I14)</f>
        <v>2110734.3800000004</v>
      </c>
      <c r="J15" s="84"/>
      <c r="K15" s="86">
        <f>SUM(K9:K14)</f>
        <v>862748.76</v>
      </c>
      <c r="L15" s="84"/>
      <c r="M15" s="87">
        <f>SUM(M9:M14)</f>
        <v>2228966.84</v>
      </c>
    </row>
    <row r="16" spans="1:13" ht="15" thickTop="1"/>
  </sheetData>
  <mergeCells count="4">
    <mergeCell ref="A1:M1"/>
    <mergeCell ref="A2:M2"/>
    <mergeCell ref="A3:M3"/>
    <mergeCell ref="A4:M4"/>
  </mergeCells>
  <phoneticPr fontId="38" type="noConversion"/>
  <pageMargins left="0.7" right="0.7" top="0.75" bottom="0.75" header="0.3" footer="0.3"/>
  <pageSetup scale="91"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2" zoomScaleNormal="100" workbookViewId="0">
      <selection activeCell="E32" sqref="E32"/>
    </sheetView>
  </sheetViews>
  <sheetFormatPr defaultColWidth="9.109375" defaultRowHeight="13.2"/>
  <cols>
    <col min="1" max="1" width="3" style="280" bestFit="1" customWidth="1"/>
    <col min="2" max="2" width="23" style="52" customWidth="1"/>
    <col min="3" max="3" width="19.5546875" style="52" bestFit="1" customWidth="1"/>
    <col min="4" max="4" width="0.88671875" style="52" customWidth="1"/>
    <col min="5" max="5" width="14.109375" style="52" bestFit="1" customWidth="1"/>
    <col min="6" max="6" width="14.5546875" style="52" bestFit="1" customWidth="1"/>
    <col min="7" max="7" width="15" style="52" bestFit="1" customWidth="1"/>
    <col min="8" max="8" width="14.5546875" style="52" bestFit="1" customWidth="1"/>
    <col min="9" max="9" width="9.5546875" style="52" bestFit="1" customWidth="1"/>
    <col min="10" max="10" width="15" style="52" bestFit="1" customWidth="1"/>
    <col min="11" max="16384" width="9.109375" style="52"/>
  </cols>
  <sheetData>
    <row r="1" spans="1:10">
      <c r="A1" s="439" t="s">
        <v>0</v>
      </c>
      <c r="B1" s="439"/>
      <c r="C1" s="439"/>
      <c r="D1" s="439"/>
      <c r="E1" s="439"/>
    </row>
    <row r="2" spans="1:10">
      <c r="A2" s="439" t="s">
        <v>92</v>
      </c>
      <c r="B2" s="439"/>
      <c r="C2" s="439"/>
      <c r="D2" s="439"/>
      <c r="E2" s="439"/>
      <c r="F2" s="278"/>
      <c r="G2" s="278"/>
      <c r="H2" s="278"/>
      <c r="I2" s="278"/>
      <c r="J2" s="278"/>
    </row>
    <row r="3" spans="1:10">
      <c r="A3" s="439" t="s">
        <v>93</v>
      </c>
      <c r="B3" s="439"/>
      <c r="C3" s="439"/>
      <c r="D3" s="439"/>
      <c r="E3" s="439"/>
      <c r="F3" s="439"/>
      <c r="G3" s="439"/>
      <c r="H3" s="439"/>
      <c r="I3" s="439"/>
      <c r="J3" s="439"/>
    </row>
    <row r="4" spans="1:10">
      <c r="A4" s="439" t="s">
        <v>662</v>
      </c>
      <c r="B4" s="439"/>
      <c r="C4" s="439"/>
      <c r="D4" s="439"/>
      <c r="E4" s="439"/>
      <c r="F4" s="439"/>
      <c r="G4" s="439"/>
      <c r="H4" s="439"/>
      <c r="I4" s="439"/>
      <c r="J4" s="439"/>
    </row>
    <row r="6" spans="1:10" ht="16.8">
      <c r="A6" s="279" t="s">
        <v>130</v>
      </c>
      <c r="C6" s="241" t="s">
        <v>707</v>
      </c>
      <c r="E6" s="241" t="s">
        <v>25</v>
      </c>
    </row>
    <row r="7" spans="1:10">
      <c r="A7" s="280">
        <v>1</v>
      </c>
      <c r="B7" s="52" t="s">
        <v>95</v>
      </c>
      <c r="C7" s="52" t="s">
        <v>708</v>
      </c>
      <c r="E7" s="53">
        <f>'WP 13a'!C11</f>
        <v>12786670.640000002</v>
      </c>
    </row>
    <row r="8" spans="1:10" ht="15">
      <c r="A8" s="280">
        <v>2</v>
      </c>
      <c r="B8" s="52" t="s">
        <v>96</v>
      </c>
      <c r="C8" s="52" t="s">
        <v>708</v>
      </c>
      <c r="E8" s="54">
        <f>-'WP 13a'!C20</f>
        <v>-557886.3989163501</v>
      </c>
    </row>
    <row r="9" spans="1:10">
      <c r="A9" s="280">
        <v>3</v>
      </c>
      <c r="B9" s="52" t="s">
        <v>97</v>
      </c>
      <c r="C9" s="52" t="s">
        <v>131</v>
      </c>
      <c r="E9" s="53">
        <f t="shared" ref="E9" si="0">SUM(E7:E8)</f>
        <v>12228784.241083652</v>
      </c>
    </row>
    <row r="10" spans="1:10">
      <c r="A10" s="280">
        <v>4</v>
      </c>
      <c r="B10" s="52" t="s">
        <v>98</v>
      </c>
      <c r="E10" s="55">
        <v>0.98299158452192337</v>
      </c>
    </row>
    <row r="11" spans="1:10">
      <c r="A11" s="280">
        <v>5</v>
      </c>
      <c r="B11" s="52" t="s">
        <v>99</v>
      </c>
      <c r="C11" s="52" t="s">
        <v>161</v>
      </c>
      <c r="E11" s="53">
        <f>+E9*E10</f>
        <v>12020791.997919545</v>
      </c>
    </row>
    <row r="12" spans="1:10">
      <c r="E12" s="53"/>
    </row>
    <row r="13" spans="1:10">
      <c r="E13" s="53"/>
    </row>
    <row r="14" spans="1:10">
      <c r="A14" s="280">
        <v>6</v>
      </c>
      <c r="B14" s="52" t="s">
        <v>65</v>
      </c>
      <c r="C14" s="52" t="s">
        <v>708</v>
      </c>
      <c r="E14" s="53">
        <f>'WP 13a'!C29</f>
        <v>-3929909</v>
      </c>
    </row>
    <row r="15" spans="1:10">
      <c r="A15" s="280">
        <v>7</v>
      </c>
      <c r="B15" s="52" t="s">
        <v>100</v>
      </c>
      <c r="E15" s="240">
        <v>0.29748225180693727</v>
      </c>
    </row>
    <row r="16" spans="1:10">
      <c r="A16" s="280">
        <v>8</v>
      </c>
      <c r="B16" s="52" t="s">
        <v>101</v>
      </c>
      <c r="C16" s="52" t="s">
        <v>162</v>
      </c>
      <c r="E16" s="53">
        <f t="shared" ref="E16" si="1">+E14*E15</f>
        <v>-1169078.1787163489</v>
      </c>
    </row>
    <row r="18" spans="1:5">
      <c r="A18" s="280">
        <v>9</v>
      </c>
      <c r="B18" s="52" t="s">
        <v>102</v>
      </c>
      <c r="C18" s="52" t="s">
        <v>132</v>
      </c>
      <c r="E18" s="56">
        <f t="shared" ref="E18" si="2">+E11+E16</f>
        <v>10851713.819203196</v>
      </c>
    </row>
    <row r="20" spans="1:5">
      <c r="A20" s="280">
        <v>10</v>
      </c>
      <c r="B20" s="52" t="s">
        <v>103</v>
      </c>
      <c r="E20" s="240">
        <v>9.4376819392169242E-2</v>
      </c>
    </row>
    <row r="21" spans="1:5">
      <c r="A21" s="280">
        <v>11</v>
      </c>
      <c r="B21" s="52" t="s">
        <v>104</v>
      </c>
      <c r="C21" s="52" t="s">
        <v>163</v>
      </c>
      <c r="E21" s="56">
        <f t="shared" ref="E21" si="3">+E18*E20</f>
        <v>1024150.2352104471</v>
      </c>
    </row>
    <row r="23" spans="1:5">
      <c r="A23" s="280">
        <v>12</v>
      </c>
      <c r="B23" s="52" t="s">
        <v>105</v>
      </c>
      <c r="E23" s="240">
        <v>0.34939917905609746</v>
      </c>
    </row>
    <row r="24" spans="1:5">
      <c r="A24" s="280">
        <v>13</v>
      </c>
      <c r="B24" s="52" t="s">
        <v>106</v>
      </c>
      <c r="C24" s="52" t="s">
        <v>164</v>
      </c>
      <c r="E24" s="56">
        <f t="shared" ref="E24" si="4">+E23*E21</f>
        <v>357837.25141263934</v>
      </c>
    </row>
    <row r="27" spans="1:5">
      <c r="A27" s="280">
        <v>14</v>
      </c>
      <c r="B27" s="52" t="s">
        <v>107</v>
      </c>
      <c r="C27" s="52" t="s">
        <v>708</v>
      </c>
      <c r="E27" s="53">
        <f>'WP 13a'!C38</f>
        <v>261803.78536800013</v>
      </c>
    </row>
    <row r="28" spans="1:5">
      <c r="A28" s="280">
        <v>15</v>
      </c>
      <c r="B28" s="52" t="s">
        <v>98</v>
      </c>
      <c r="E28" s="55">
        <f t="shared" ref="E28" si="5">E10</f>
        <v>0.98299158452192337</v>
      </c>
    </row>
    <row r="29" spans="1:5">
      <c r="A29" s="280">
        <v>16</v>
      </c>
      <c r="B29" s="52" t="s">
        <v>108</v>
      </c>
      <c r="C29" s="52" t="s">
        <v>165</v>
      </c>
      <c r="E29" s="53">
        <f t="shared" ref="E29" si="6">+E27*E28</f>
        <v>257350.91781272797</v>
      </c>
    </row>
    <row r="30" spans="1:5" ht="13.8" thickBot="1"/>
    <row r="31" spans="1:5" ht="13.8" thickBot="1">
      <c r="A31" s="280">
        <v>17</v>
      </c>
      <c r="B31" s="52" t="s">
        <v>93</v>
      </c>
      <c r="C31" s="52" t="s">
        <v>133</v>
      </c>
      <c r="E31" s="57">
        <f t="shared" ref="E31" si="7">+E21+E24+E29</f>
        <v>1639338.4044358144</v>
      </c>
    </row>
  </sheetData>
  <mergeCells count="6">
    <mergeCell ref="A1:E1"/>
    <mergeCell ref="A2:E2"/>
    <mergeCell ref="A3:E3"/>
    <mergeCell ref="F3:J3"/>
    <mergeCell ref="A4:E4"/>
    <mergeCell ref="F4:J4"/>
  </mergeCells>
  <phoneticPr fontId="38" type="noConversion"/>
  <printOptions horizontalCentered="1"/>
  <pageMargins left="0.7" right="0.7" top="0.75" bottom="0.75" header="0.3" footer="0.3"/>
  <pageSetup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opLeftCell="A21" zoomScaleNormal="100" workbookViewId="0">
      <selection activeCell="C39" sqref="C39"/>
    </sheetView>
  </sheetViews>
  <sheetFormatPr defaultColWidth="9.109375" defaultRowHeight="13.2"/>
  <cols>
    <col min="1" max="1" width="11.44140625" style="88" customWidth="1"/>
    <col min="2" max="2" width="38.6640625" style="88" customWidth="1"/>
    <col min="3" max="3" width="15" style="88" customWidth="1"/>
    <col min="4" max="13" width="15" style="88" bestFit="1" customWidth="1"/>
    <col min="14" max="14" width="15.5546875" style="88" customWidth="1"/>
    <col min="15" max="15" width="15" style="88" bestFit="1" customWidth="1"/>
    <col min="16" max="16384" width="9.109375" style="88"/>
  </cols>
  <sheetData>
    <row r="1" spans="1:14" ht="15" customHeight="1">
      <c r="A1" s="440" t="s">
        <v>109</v>
      </c>
      <c r="B1" s="440"/>
      <c r="C1" s="440"/>
      <c r="D1" s="272"/>
      <c r="E1" s="272"/>
      <c r="F1" s="272"/>
      <c r="G1" s="272"/>
      <c r="H1" s="272"/>
      <c r="I1" s="272"/>
      <c r="J1" s="272"/>
      <c r="K1" s="272"/>
      <c r="L1" s="272"/>
      <c r="M1" s="272"/>
      <c r="N1" s="272"/>
    </row>
    <row r="2" spans="1:14" ht="15" customHeight="1">
      <c r="A2" s="440" t="s">
        <v>134</v>
      </c>
      <c r="B2" s="440"/>
      <c r="C2" s="440"/>
      <c r="D2" s="440"/>
      <c r="E2" s="440"/>
      <c r="F2" s="440"/>
      <c r="G2" s="440"/>
      <c r="H2" s="440"/>
      <c r="I2" s="440"/>
      <c r="J2" s="440"/>
      <c r="K2" s="440"/>
      <c r="L2" s="440"/>
      <c r="M2" s="440"/>
      <c r="N2" s="440"/>
    </row>
    <row r="3" spans="1:14" ht="15" customHeight="1">
      <c r="A3" s="441" t="s">
        <v>689</v>
      </c>
      <c r="B3" s="440"/>
      <c r="C3" s="440"/>
      <c r="D3" s="440"/>
      <c r="E3" s="440"/>
      <c r="F3" s="440"/>
      <c r="G3" s="440"/>
      <c r="H3" s="440"/>
      <c r="I3" s="440"/>
      <c r="J3" s="440"/>
      <c r="K3" s="440"/>
      <c r="L3" s="440"/>
      <c r="M3" s="440"/>
      <c r="N3" s="440"/>
    </row>
    <row r="4" spans="1:14" ht="15" customHeight="1"/>
    <row r="5" spans="1:14" ht="15" customHeight="1">
      <c r="A5" s="89" t="s">
        <v>135</v>
      </c>
      <c r="C5" s="90">
        <v>41639</v>
      </c>
      <c r="D5" s="91"/>
    </row>
    <row r="6" spans="1:14" ht="14.4">
      <c r="A6" s="92" t="s">
        <v>34</v>
      </c>
      <c r="C6" s="167">
        <v>16759097.959999999</v>
      </c>
      <c r="D6" s="94"/>
    </row>
    <row r="7" spans="1:14" ht="14.4">
      <c r="A7" s="92" t="s">
        <v>35</v>
      </c>
      <c r="C7" s="167">
        <v>30879484.91</v>
      </c>
      <c r="D7" s="94"/>
    </row>
    <row r="8" spans="1:14" ht="14.4">
      <c r="A8" s="92" t="s">
        <v>36</v>
      </c>
      <c r="C8" s="93">
        <v>97854299.560000017</v>
      </c>
      <c r="D8" s="94"/>
    </row>
    <row r="9" spans="1:14" ht="14.4">
      <c r="A9" s="92" t="s">
        <v>37</v>
      </c>
      <c r="C9" s="93">
        <v>38889339.61999999</v>
      </c>
      <c r="D9" s="94"/>
    </row>
    <row r="10" spans="1:14" ht="14.4">
      <c r="A10" s="92" t="s">
        <v>38</v>
      </c>
      <c r="C10" s="275">
        <v>0</v>
      </c>
      <c r="D10" s="94"/>
    </row>
    <row r="11" spans="1:14" ht="14.4">
      <c r="A11" s="92" t="s">
        <v>25</v>
      </c>
      <c r="C11" s="276">
        <v>12786670.640000002</v>
      </c>
      <c r="D11" s="94"/>
    </row>
    <row r="12" spans="1:14" ht="14.4">
      <c r="A12" s="89" t="s">
        <v>136</v>
      </c>
      <c r="C12" s="93">
        <f t="shared" ref="C12" si="0">SUM(C6:C11)</f>
        <v>197168892.69000003</v>
      </c>
      <c r="D12" s="94"/>
    </row>
    <row r="13" spans="1:14" ht="14.4">
      <c r="C13" s="93"/>
      <c r="D13" s="94"/>
      <c r="F13" s="95"/>
    </row>
    <row r="14" spans="1:14" ht="14.4">
      <c r="A14" s="89" t="s">
        <v>137</v>
      </c>
      <c r="C14" s="90">
        <v>41639</v>
      </c>
      <c r="D14" s="96"/>
    </row>
    <row r="15" spans="1:14" ht="14.4">
      <c r="A15" s="92" t="s">
        <v>34</v>
      </c>
      <c r="B15" s="97"/>
      <c r="C15" s="167">
        <v>349362.90053458844</v>
      </c>
      <c r="D15" s="94"/>
    </row>
    <row r="16" spans="1:14" ht="14.4">
      <c r="A16" s="92" t="s">
        <v>35</v>
      </c>
      <c r="B16" s="97"/>
      <c r="C16" s="167">
        <v>1636193.4068254579</v>
      </c>
      <c r="D16" s="94"/>
    </row>
    <row r="17" spans="1:15" ht="14.4">
      <c r="A17" s="92" t="s">
        <v>36</v>
      </c>
      <c r="B17" s="97"/>
      <c r="C17" s="93">
        <v>12214210.972689023</v>
      </c>
      <c r="D17" s="94"/>
    </row>
    <row r="18" spans="1:15" ht="14.4">
      <c r="A18" s="92" t="s">
        <v>37</v>
      </c>
      <c r="B18" s="97"/>
      <c r="C18" s="93">
        <v>3656426.8736250312</v>
      </c>
      <c r="D18" s="94"/>
    </row>
    <row r="19" spans="1:15" ht="14.4">
      <c r="A19" s="92" t="s">
        <v>38</v>
      </c>
      <c r="B19" s="97"/>
      <c r="C19" s="275">
        <v>0</v>
      </c>
      <c r="D19" s="94"/>
    </row>
    <row r="20" spans="1:15" ht="14.4">
      <c r="A20" s="92" t="s">
        <v>25</v>
      </c>
      <c r="B20" s="97"/>
      <c r="C20" s="276">
        <v>557886.3989163501</v>
      </c>
      <c r="D20" s="94"/>
    </row>
    <row r="21" spans="1:15" ht="14.4">
      <c r="A21" s="98" t="s">
        <v>138</v>
      </c>
      <c r="B21" s="97"/>
      <c r="C21" s="93">
        <f t="shared" ref="C21" si="1">SUM(C15:C20)</f>
        <v>18414080.552590448</v>
      </c>
      <c r="D21" s="94"/>
    </row>
    <row r="22" spans="1:15" ht="14.4">
      <c r="C22" s="93"/>
      <c r="D22" s="93"/>
    </row>
    <row r="23" spans="1:15">
      <c r="A23" s="89" t="s">
        <v>690</v>
      </c>
      <c r="C23" s="90">
        <v>41639</v>
      </c>
    </row>
    <row r="24" spans="1:15" ht="14.4">
      <c r="A24" s="92" t="s">
        <v>34</v>
      </c>
      <c r="C24" s="167">
        <v>-374198</v>
      </c>
      <c r="O24" s="95"/>
    </row>
    <row r="25" spans="1:15" ht="14.4">
      <c r="A25" s="92" t="s">
        <v>35</v>
      </c>
      <c r="C25" s="167">
        <v>-2797188</v>
      </c>
      <c r="D25" s="100"/>
      <c r="E25" s="100"/>
      <c r="F25" s="100"/>
      <c r="G25" s="100"/>
      <c r="H25" s="100"/>
    </row>
    <row r="26" spans="1:15" ht="14.4">
      <c r="A26" s="92" t="s">
        <v>36</v>
      </c>
      <c r="C26" s="93">
        <v>-24154008</v>
      </c>
      <c r="D26" s="100"/>
      <c r="E26" s="100"/>
      <c r="F26" s="100"/>
      <c r="G26" s="100"/>
      <c r="H26" s="100"/>
    </row>
    <row r="27" spans="1:15" ht="14.4">
      <c r="A27" s="92" t="s">
        <v>37</v>
      </c>
      <c r="C27" s="93">
        <v>-14622323</v>
      </c>
      <c r="D27" s="100"/>
      <c r="E27" s="100"/>
      <c r="F27" s="100"/>
      <c r="G27" s="100"/>
      <c r="H27" s="100"/>
    </row>
    <row r="28" spans="1:15" ht="14.4">
      <c r="A28" s="92" t="s">
        <v>38</v>
      </c>
      <c r="C28" s="275">
        <v>0</v>
      </c>
      <c r="D28" s="100"/>
      <c r="E28" s="100"/>
      <c r="F28" s="100"/>
      <c r="G28" s="100"/>
      <c r="H28" s="100"/>
    </row>
    <row r="29" spans="1:15" ht="14.4">
      <c r="A29" s="92" t="s">
        <v>25</v>
      </c>
      <c r="C29" s="276">
        <v>-3929909</v>
      </c>
      <c r="D29" s="100"/>
      <c r="E29" s="100"/>
      <c r="F29" s="100"/>
      <c r="G29" s="100"/>
      <c r="H29" s="100"/>
    </row>
    <row r="30" spans="1:15" ht="14.4">
      <c r="A30" s="98" t="s">
        <v>691</v>
      </c>
      <c r="C30" s="93">
        <f>SUM(C24:C29)</f>
        <v>-45877626</v>
      </c>
      <c r="D30" s="100"/>
      <c r="E30" s="100"/>
      <c r="F30" s="100"/>
      <c r="G30" s="100"/>
      <c r="H30" s="100"/>
    </row>
    <row r="31" spans="1:15">
      <c r="A31" s="92"/>
      <c r="C31" s="100"/>
      <c r="D31" s="100"/>
      <c r="E31" s="100"/>
      <c r="F31" s="100"/>
      <c r="G31" s="100"/>
      <c r="H31" s="100"/>
    </row>
    <row r="32" spans="1:15" ht="14.4">
      <c r="A32" s="89" t="s">
        <v>616</v>
      </c>
      <c r="C32" s="273" t="s">
        <v>617</v>
      </c>
      <c r="D32" s="99"/>
    </row>
    <row r="33" spans="1:3" ht="14.4">
      <c r="A33" s="92" t="s">
        <v>34</v>
      </c>
      <c r="C33" s="274">
        <v>110137.84929133335</v>
      </c>
    </row>
    <row r="34" spans="1:3" ht="14.4">
      <c r="A34" s="92" t="s">
        <v>35</v>
      </c>
      <c r="C34" s="274">
        <v>443858.94356639998</v>
      </c>
    </row>
    <row r="35" spans="1:3" ht="14.4">
      <c r="A35" s="92" t="s">
        <v>36</v>
      </c>
      <c r="C35" s="94">
        <v>2753309.9282212509</v>
      </c>
    </row>
    <row r="36" spans="1:3" ht="14.4">
      <c r="A36" s="92" t="s">
        <v>37</v>
      </c>
      <c r="C36" s="94">
        <v>906122.34284375003</v>
      </c>
    </row>
    <row r="37" spans="1:3" ht="14.4">
      <c r="A37" s="92" t="s">
        <v>38</v>
      </c>
      <c r="C37" s="277">
        <v>0</v>
      </c>
    </row>
    <row r="38" spans="1:3" ht="14.4">
      <c r="A38" s="92" t="s">
        <v>25</v>
      </c>
      <c r="C38" s="276">
        <v>261803.78536800013</v>
      </c>
    </row>
    <row r="39" spans="1:3" ht="14.4">
      <c r="A39" s="89" t="s">
        <v>618</v>
      </c>
      <c r="C39" s="94">
        <f>SUM(C33:C38)</f>
        <v>4475232.8492907351</v>
      </c>
    </row>
    <row r="40" spans="1:3">
      <c r="A40" s="92"/>
    </row>
  </sheetData>
  <mergeCells count="11">
    <mergeCell ref="A3:C3"/>
    <mergeCell ref="D3:F3"/>
    <mergeCell ref="G3:I3"/>
    <mergeCell ref="J3:L3"/>
    <mergeCell ref="M3:N3"/>
    <mergeCell ref="M2:N2"/>
    <mergeCell ref="A1:C1"/>
    <mergeCell ref="A2:C2"/>
    <mergeCell ref="D2:F2"/>
    <mergeCell ref="G2:I2"/>
    <mergeCell ref="J2:L2"/>
  </mergeCells>
  <printOptions horizontalCentered="1"/>
  <pageMargins left="0.7" right="0.7" top="0.75" bottom="0.75" header="0.3" footer="0.3"/>
  <pageSetup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opLeftCell="A12" workbookViewId="0">
      <selection activeCell="J34" activeCellId="1" sqref="J39 J34"/>
    </sheetView>
  </sheetViews>
  <sheetFormatPr defaultColWidth="9.109375" defaultRowHeight="13.2"/>
  <cols>
    <col min="1" max="1" width="3.88671875" style="159" customWidth="1"/>
    <col min="2" max="2" width="9.109375" style="159"/>
    <col min="3" max="3" width="12.33203125" style="159" bestFit="1" customWidth="1"/>
    <col min="4" max="4" width="4.88671875" style="159" customWidth="1"/>
    <col min="5" max="6" width="13.44140625" style="159" bestFit="1" customWidth="1"/>
    <col min="7" max="7" width="14" style="159" bestFit="1" customWidth="1"/>
    <col min="8" max="8" width="12.33203125" style="159" bestFit="1" customWidth="1"/>
    <col min="9" max="9" width="11.33203125" style="159" bestFit="1" customWidth="1"/>
    <col min="10" max="10" width="12.33203125" style="159" bestFit="1" customWidth="1"/>
    <col min="11" max="11" width="14" style="159" bestFit="1" customWidth="1"/>
    <col min="12" max="16384" width="9.109375" style="159"/>
  </cols>
  <sheetData>
    <row r="1" spans="1:22">
      <c r="B1" s="443" t="s">
        <v>109</v>
      </c>
      <c r="C1" s="443"/>
      <c r="D1" s="443"/>
      <c r="E1" s="443"/>
      <c r="F1" s="443"/>
      <c r="G1" s="443"/>
      <c r="H1" s="443"/>
      <c r="I1" s="443"/>
      <c r="J1" s="443"/>
      <c r="K1" s="443"/>
      <c r="L1" s="160"/>
      <c r="M1" s="160"/>
      <c r="N1" s="160"/>
      <c r="O1" s="160"/>
      <c r="P1" s="160"/>
      <c r="Q1" s="160"/>
      <c r="R1" s="160"/>
      <c r="S1" s="160"/>
      <c r="T1" s="160"/>
      <c r="U1" s="160"/>
      <c r="V1" s="160"/>
    </row>
    <row r="2" spans="1:22">
      <c r="B2" s="443" t="s">
        <v>177</v>
      </c>
      <c r="C2" s="443"/>
      <c r="D2" s="443"/>
      <c r="E2" s="443"/>
      <c r="F2" s="443"/>
      <c r="G2" s="443"/>
      <c r="H2" s="443"/>
      <c r="I2" s="443"/>
      <c r="J2" s="443"/>
      <c r="K2" s="443"/>
      <c r="L2" s="160"/>
      <c r="M2" s="160"/>
      <c r="N2" s="160"/>
      <c r="O2" s="160"/>
      <c r="P2" s="160"/>
      <c r="Q2" s="160"/>
      <c r="R2" s="160"/>
      <c r="S2" s="160"/>
      <c r="T2" s="160"/>
      <c r="U2" s="160"/>
      <c r="V2" s="160"/>
    </row>
    <row r="3" spans="1:22">
      <c r="B3" s="444" t="s">
        <v>614</v>
      </c>
      <c r="C3" s="444"/>
      <c r="D3" s="444"/>
      <c r="E3" s="444"/>
      <c r="F3" s="444"/>
      <c r="G3" s="444"/>
      <c r="H3" s="444"/>
      <c r="I3" s="444"/>
      <c r="J3" s="444"/>
      <c r="K3" s="444"/>
      <c r="L3" s="160"/>
      <c r="M3" s="160"/>
      <c r="N3" s="160"/>
      <c r="O3" s="160"/>
      <c r="P3" s="160"/>
      <c r="Q3" s="160"/>
      <c r="R3" s="160"/>
      <c r="S3" s="160"/>
      <c r="T3" s="160"/>
      <c r="U3" s="160"/>
      <c r="V3" s="160"/>
    </row>
    <row r="4" spans="1:22">
      <c r="B4" s="443" t="s">
        <v>110</v>
      </c>
      <c r="C4" s="443"/>
      <c r="D4" s="443"/>
      <c r="E4" s="443"/>
      <c r="F4" s="443"/>
      <c r="G4" s="443"/>
      <c r="H4" s="443"/>
      <c r="I4" s="443"/>
      <c r="J4" s="443"/>
      <c r="K4" s="443"/>
      <c r="L4" s="160"/>
      <c r="M4" s="160"/>
      <c r="N4" s="160"/>
      <c r="O4" s="160"/>
      <c r="P4" s="160"/>
      <c r="Q4" s="160"/>
      <c r="R4" s="160"/>
      <c r="S4" s="160"/>
      <c r="T4" s="160"/>
      <c r="U4" s="160"/>
      <c r="V4" s="160"/>
    </row>
    <row r="7" spans="1:22" ht="12.75" customHeight="1">
      <c r="B7" s="442" t="s">
        <v>173</v>
      </c>
      <c r="C7" s="442"/>
      <c r="D7" s="442"/>
      <c r="F7" s="442" t="s">
        <v>174</v>
      </c>
      <c r="G7" s="442"/>
      <c r="H7" s="442"/>
    </row>
    <row r="8" spans="1:22">
      <c r="B8" s="442"/>
      <c r="C8" s="442"/>
      <c r="D8" s="442"/>
      <c r="F8" s="442"/>
      <c r="G8" s="442"/>
      <c r="H8" s="442"/>
    </row>
    <row r="11" spans="1:22">
      <c r="A11" s="283">
        <v>1</v>
      </c>
      <c r="B11" s="161">
        <v>41275</v>
      </c>
      <c r="C11" s="286">
        <v>5370</v>
      </c>
      <c r="F11" s="161">
        <v>41275</v>
      </c>
      <c r="G11" s="286">
        <v>100518.5</v>
      </c>
    </row>
    <row r="12" spans="1:22">
      <c r="A12" s="283">
        <f>+A11+1</f>
        <v>2</v>
      </c>
      <c r="B12" s="161">
        <v>41306</v>
      </c>
      <c r="C12" s="286">
        <v>6735.3</v>
      </c>
      <c r="F12" s="161">
        <v>41306</v>
      </c>
      <c r="G12" s="286">
        <v>96101.6</v>
      </c>
    </row>
    <row r="13" spans="1:22">
      <c r="A13" s="283">
        <f t="shared" ref="A13:A23" si="0">+A12+1</f>
        <v>3</v>
      </c>
      <c r="B13" s="161">
        <v>41334</v>
      </c>
      <c r="C13" s="286">
        <v>9828.2000000000007</v>
      </c>
      <c r="F13" s="161">
        <v>41334</v>
      </c>
      <c r="G13" s="286">
        <v>79253.2</v>
      </c>
    </row>
    <row r="14" spans="1:22">
      <c r="A14" s="283">
        <f t="shared" si="0"/>
        <v>4</v>
      </c>
      <c r="B14" s="161">
        <v>41365</v>
      </c>
      <c r="C14" s="286">
        <v>8474.7999999999993</v>
      </c>
      <c r="F14" s="161">
        <v>41365</v>
      </c>
      <c r="G14" s="286">
        <v>56386.5</v>
      </c>
    </row>
    <row r="15" spans="1:22">
      <c r="A15" s="283">
        <f t="shared" si="0"/>
        <v>5</v>
      </c>
      <c r="B15" s="161">
        <v>41395</v>
      </c>
      <c r="C15" s="286">
        <v>10498.3</v>
      </c>
      <c r="F15" s="161">
        <v>41395</v>
      </c>
      <c r="G15" s="286">
        <v>57951.8</v>
      </c>
    </row>
    <row r="16" spans="1:22">
      <c r="A16" s="283">
        <f t="shared" si="0"/>
        <v>6</v>
      </c>
      <c r="B16" s="161">
        <v>41426</v>
      </c>
      <c r="C16" s="286">
        <v>9588.4</v>
      </c>
      <c r="F16" s="161">
        <v>41426</v>
      </c>
      <c r="G16" s="286">
        <v>74103.7</v>
      </c>
    </row>
    <row r="17" spans="1:11">
      <c r="A17" s="283">
        <f t="shared" si="0"/>
        <v>7</v>
      </c>
      <c r="B17" s="161">
        <v>41456</v>
      </c>
      <c r="C17" s="286">
        <v>7159</v>
      </c>
      <c r="F17" s="161">
        <v>41456</v>
      </c>
      <c r="G17" s="286">
        <v>86463.4</v>
      </c>
    </row>
    <row r="18" spans="1:11">
      <c r="A18" s="283">
        <f t="shared" si="0"/>
        <v>8</v>
      </c>
      <c r="B18" s="161">
        <v>41487</v>
      </c>
      <c r="C18" s="286">
        <v>7142.8</v>
      </c>
      <c r="F18" s="161">
        <v>41487</v>
      </c>
      <c r="G18" s="286">
        <v>67717</v>
      </c>
    </row>
    <row r="19" spans="1:11">
      <c r="A19" s="283">
        <f t="shared" si="0"/>
        <v>9</v>
      </c>
      <c r="B19" s="161">
        <v>41518</v>
      </c>
      <c r="C19" s="286">
        <v>7556.8</v>
      </c>
      <c r="F19" s="161">
        <v>41518</v>
      </c>
      <c r="G19" s="286">
        <v>39587.699999999997</v>
      </c>
    </row>
    <row r="20" spans="1:11">
      <c r="A20" s="283">
        <f t="shared" si="0"/>
        <v>10</v>
      </c>
      <c r="B20" s="161">
        <v>41548</v>
      </c>
      <c r="C20" s="286">
        <v>15082.2</v>
      </c>
      <c r="F20" s="161">
        <v>41548</v>
      </c>
      <c r="G20" s="286">
        <v>32886.699999999997</v>
      </c>
    </row>
    <row r="21" spans="1:11">
      <c r="A21" s="283">
        <f t="shared" si="0"/>
        <v>11</v>
      </c>
      <c r="B21" s="161">
        <v>41579</v>
      </c>
      <c r="C21" s="286">
        <v>8948.1</v>
      </c>
      <c r="F21" s="161">
        <v>41579</v>
      </c>
      <c r="G21" s="286">
        <v>54971.8</v>
      </c>
    </row>
    <row r="22" spans="1:11">
      <c r="A22" s="283">
        <f t="shared" si="0"/>
        <v>12</v>
      </c>
      <c r="B22" s="161">
        <v>41609</v>
      </c>
      <c r="C22" s="286">
        <v>5669.9</v>
      </c>
      <c r="F22" s="161">
        <v>41609</v>
      </c>
      <c r="G22" s="286">
        <v>27663.4</v>
      </c>
    </row>
    <row r="23" spans="1:11" ht="13.8" thickBot="1">
      <c r="A23" s="283">
        <f t="shared" si="0"/>
        <v>13</v>
      </c>
      <c r="C23" s="287">
        <f>SUM(C11:C22)</f>
        <v>102053.8</v>
      </c>
      <c r="G23" s="287">
        <f>SUM(G11:G22)</f>
        <v>773605.29999999993</v>
      </c>
    </row>
    <row r="24" spans="1:11" ht="13.8" thickTop="1"/>
    <row r="25" spans="1:11">
      <c r="B25" s="111"/>
      <c r="C25" s="111"/>
      <c r="D25" s="111"/>
      <c r="E25" s="112" t="s">
        <v>34</v>
      </c>
      <c r="F25" s="112" t="s">
        <v>35</v>
      </c>
      <c r="G25" s="112" t="s">
        <v>36</v>
      </c>
      <c r="H25" s="112" t="s">
        <v>37</v>
      </c>
      <c r="I25" s="112" t="s">
        <v>38</v>
      </c>
      <c r="J25" s="112" t="s">
        <v>25</v>
      </c>
      <c r="K25" s="112" t="s">
        <v>20</v>
      </c>
    </row>
    <row r="26" spans="1:11">
      <c r="A26" s="288">
        <f>+A23+1</f>
        <v>14</v>
      </c>
      <c r="B26" s="289" t="s">
        <v>169</v>
      </c>
      <c r="C26" s="289"/>
      <c r="D26" s="289"/>
      <c r="E26" s="295">
        <v>1527970108</v>
      </c>
      <c r="F26" s="295">
        <v>1068582308</v>
      </c>
      <c r="G26" s="295">
        <v>1256106503</v>
      </c>
      <c r="H26" s="295">
        <v>926236017</v>
      </c>
      <c r="I26" s="295">
        <v>89641046</v>
      </c>
      <c r="J26" s="295">
        <v>941634205</v>
      </c>
      <c r="K26" s="295">
        <f>SUM(E26:J26)</f>
        <v>5810170187</v>
      </c>
    </row>
    <row r="27" spans="1:11">
      <c r="A27" s="288">
        <f>+A26+1</f>
        <v>15</v>
      </c>
      <c r="B27" s="289" t="s">
        <v>170</v>
      </c>
      <c r="C27" s="289"/>
      <c r="D27" s="289"/>
      <c r="E27" s="291">
        <v>46041300.049999997</v>
      </c>
      <c r="F27" s="291">
        <v>26430009.52</v>
      </c>
      <c r="G27" s="291">
        <v>28904667.330000017</v>
      </c>
      <c r="H27" s="291">
        <v>13488969.750000002</v>
      </c>
      <c r="I27" s="291">
        <v>3547347.54</v>
      </c>
      <c r="J27" s="291">
        <v>16015705.770000001</v>
      </c>
      <c r="K27" s="368">
        <f>SUM(E27:J27)</f>
        <v>134427999.96000001</v>
      </c>
    </row>
    <row r="28" spans="1:11">
      <c r="A28" s="288">
        <f t="shared" ref="A28:A29" si="1">+A27+1</f>
        <v>16</v>
      </c>
      <c r="B28" s="289" t="s">
        <v>171</v>
      </c>
      <c r="C28" s="289"/>
      <c r="D28" s="289"/>
      <c r="E28" s="290">
        <f>E26-E27</f>
        <v>1481928807.95</v>
      </c>
      <c r="F28" s="290">
        <f>F26-F27</f>
        <v>1042152298.48</v>
      </c>
      <c r="G28" s="290">
        <f t="shared" ref="G28:K28" si="2">G26-G27</f>
        <v>1227201835.6700001</v>
      </c>
      <c r="H28" s="290">
        <f t="shared" si="2"/>
        <v>912747047.25</v>
      </c>
      <c r="I28" s="290">
        <f t="shared" si="2"/>
        <v>86093698.459999993</v>
      </c>
      <c r="J28" s="290">
        <f t="shared" si="2"/>
        <v>925618499.23000002</v>
      </c>
      <c r="K28" s="290">
        <f t="shared" si="2"/>
        <v>5675742187.04</v>
      </c>
    </row>
    <row r="29" spans="1:11">
      <c r="A29" s="288">
        <f t="shared" si="1"/>
        <v>17</v>
      </c>
      <c r="B29" s="289" t="s">
        <v>172</v>
      </c>
      <c r="C29" s="289"/>
      <c r="D29" s="289"/>
      <c r="E29" s="292">
        <f>E28/K28</f>
        <v>0.26109868262406966</v>
      </c>
      <c r="F29" s="292">
        <f>F28/K28</f>
        <v>0.18361515800693917</v>
      </c>
      <c r="G29" s="292">
        <f>G28/K28</f>
        <v>0.21621874201266489</v>
      </c>
      <c r="H29" s="292">
        <f>H28/K28</f>
        <v>0.16081545235338002</v>
      </c>
      <c r="I29" s="292">
        <f>I28/K28</f>
        <v>1.5168711971552637E-2</v>
      </c>
      <c r="J29" s="292">
        <f>J28/K28</f>
        <v>0.16308325303139368</v>
      </c>
      <c r="K29" s="292">
        <f>SUM(E29:J29)</f>
        <v>1</v>
      </c>
    </row>
    <row r="30" spans="1:11">
      <c r="A30" s="288"/>
      <c r="B30" s="289"/>
      <c r="C30" s="289"/>
      <c r="D30" s="289"/>
      <c r="E30" s="292"/>
      <c r="F30" s="292"/>
      <c r="G30" s="292"/>
      <c r="H30" s="292"/>
      <c r="I30" s="292"/>
      <c r="J30" s="292"/>
      <c r="K30" s="292"/>
    </row>
    <row r="31" spans="1:11">
      <c r="A31" s="218"/>
      <c r="B31" s="294" t="s">
        <v>175</v>
      </c>
      <c r="C31" s="218"/>
      <c r="D31" s="218"/>
      <c r="E31" s="218"/>
      <c r="F31" s="218"/>
      <c r="G31" s="218"/>
      <c r="H31" s="218"/>
      <c r="I31" s="218"/>
      <c r="J31" s="218"/>
      <c r="K31" s="218"/>
    </row>
    <row r="32" spans="1:11">
      <c r="A32" s="288">
        <f>+A29+1</f>
        <v>18</v>
      </c>
      <c r="B32" s="218" t="s">
        <v>697</v>
      </c>
      <c r="C32" s="218"/>
      <c r="D32" s="163"/>
      <c r="E32" s="284">
        <f>$C23*E29</f>
        <v>26646.11273678028</v>
      </c>
      <c r="F32" s="284">
        <f>$C23*F29</f>
        <v>18738.624612208569</v>
      </c>
      <c r="G32" s="284">
        <f t="shared" ref="G32:J32" si="3">$C23*G29</f>
        <v>22065.944253612102</v>
      </c>
      <c r="H32" s="284">
        <f t="shared" si="3"/>
        <v>16411.828011381374</v>
      </c>
      <c r="I32" s="284">
        <f t="shared" si="3"/>
        <v>1548.0246978024386</v>
      </c>
      <c r="J32" s="284">
        <f t="shared" si="3"/>
        <v>16643.265688215244</v>
      </c>
      <c r="K32" s="284">
        <f>SUM(E32:J32)</f>
        <v>102053.79999999999</v>
      </c>
    </row>
    <row r="33" spans="1:11">
      <c r="A33" s="288">
        <f>+A32+1</f>
        <v>19</v>
      </c>
      <c r="B33" s="218" t="s">
        <v>698</v>
      </c>
      <c r="C33" s="218"/>
      <c r="D33" s="218"/>
      <c r="E33" s="285">
        <v>1129.71</v>
      </c>
      <c r="F33" s="285">
        <v>298.73</v>
      </c>
      <c r="G33" s="285">
        <v>457.97</v>
      </c>
      <c r="H33" s="285">
        <v>862.35</v>
      </c>
      <c r="I33" s="285">
        <v>76.58</v>
      </c>
      <c r="J33" s="285">
        <v>660.56</v>
      </c>
      <c r="K33" s="285">
        <f>SUM(E33:J33)</f>
        <v>3485.9</v>
      </c>
    </row>
    <row r="34" spans="1:11">
      <c r="A34" s="288">
        <f>+A33+1</f>
        <v>20</v>
      </c>
      <c r="B34" s="218" t="s">
        <v>699</v>
      </c>
      <c r="C34" s="218"/>
      <c r="D34" s="218"/>
      <c r="E34" s="284">
        <f>E32+E33</f>
        <v>27775.822736780279</v>
      </c>
      <c r="F34" s="284">
        <f t="shared" ref="F34:J34" si="4">F32+F33</f>
        <v>19037.354612208568</v>
      </c>
      <c r="G34" s="284">
        <f t="shared" si="4"/>
        <v>22523.914253612103</v>
      </c>
      <c r="H34" s="284">
        <f t="shared" si="4"/>
        <v>17274.178011381373</v>
      </c>
      <c r="I34" s="284">
        <f t="shared" si="4"/>
        <v>1624.6046978024385</v>
      </c>
      <c r="J34" s="369">
        <f t="shared" si="4"/>
        <v>17303.825688215245</v>
      </c>
      <c r="K34" s="284">
        <f>SUM(E34:J34)</f>
        <v>105539.70000000001</v>
      </c>
    </row>
    <row r="35" spans="1:11">
      <c r="A35" s="218"/>
      <c r="B35" s="218"/>
      <c r="C35" s="218"/>
      <c r="D35" s="164"/>
      <c r="E35" s="164"/>
      <c r="F35" s="164"/>
      <c r="G35" s="164"/>
      <c r="H35" s="164"/>
      <c r="I35" s="162"/>
      <c r="J35" s="164"/>
      <c r="K35" s="218"/>
    </row>
    <row r="36" spans="1:11">
      <c r="A36" s="218"/>
      <c r="B36" s="294" t="s">
        <v>176</v>
      </c>
      <c r="C36" s="218"/>
      <c r="D36" s="218"/>
      <c r="E36" s="218"/>
      <c r="F36" s="218"/>
      <c r="G36" s="218"/>
      <c r="H36" s="218"/>
      <c r="I36" s="218"/>
      <c r="J36" s="218"/>
      <c r="K36" s="218"/>
    </row>
    <row r="37" spans="1:11">
      <c r="A37" s="288">
        <f>+A34+1</f>
        <v>21</v>
      </c>
      <c r="B37" s="218" t="s">
        <v>697</v>
      </c>
      <c r="C37" s="218"/>
      <c r="D37" s="218"/>
      <c r="E37" s="284">
        <f>$G23*E29</f>
        <v>201987.32470099817</v>
      </c>
      <c r="F37" s="284">
        <f t="shared" ref="F37:J37" si="5">$G23*F29</f>
        <v>142045.65939450558</v>
      </c>
      <c r="G37" s="284">
        <f t="shared" si="5"/>
        <v>167267.96478033022</v>
      </c>
      <c r="H37" s="284">
        <f t="shared" si="5"/>
        <v>124407.68626247224</v>
      </c>
      <c r="I37" s="284">
        <f t="shared" si="5"/>
        <v>11734.595975366568</v>
      </c>
      <c r="J37" s="284">
        <f t="shared" si="5"/>
        <v>126162.06888632721</v>
      </c>
      <c r="K37" s="284">
        <f>SUM(E37:J37)</f>
        <v>773605.3</v>
      </c>
    </row>
    <row r="38" spans="1:11">
      <c r="A38" s="288">
        <f>+A37+1</f>
        <v>22</v>
      </c>
      <c r="B38" s="218" t="s">
        <v>698</v>
      </c>
      <c r="C38" s="218"/>
      <c r="D38" s="218"/>
      <c r="E38" s="285">
        <v>5608.16</v>
      </c>
      <c r="F38" s="285">
        <v>2721.84</v>
      </c>
      <c r="G38" s="285">
        <v>4172.72</v>
      </c>
      <c r="H38" s="285">
        <v>3167.47</v>
      </c>
      <c r="I38" s="285">
        <v>697.73</v>
      </c>
      <c r="J38" s="285">
        <v>1617.53</v>
      </c>
      <c r="K38" s="285">
        <v>17985.45</v>
      </c>
    </row>
    <row r="39" spans="1:11">
      <c r="A39" s="288">
        <f>+A38+1</f>
        <v>23</v>
      </c>
      <c r="B39" s="218" t="s">
        <v>700</v>
      </c>
      <c r="C39" s="218"/>
      <c r="D39" s="218"/>
      <c r="E39" s="284">
        <f>SUM(E37:E38)</f>
        <v>207595.48470099817</v>
      </c>
      <c r="F39" s="284">
        <f t="shared" ref="F39:J39" si="6">SUM(F37:F38)</f>
        <v>144767.49939450558</v>
      </c>
      <c r="G39" s="284">
        <f t="shared" si="6"/>
        <v>171440.68478033022</v>
      </c>
      <c r="H39" s="284">
        <f t="shared" si="6"/>
        <v>127575.15626247224</v>
      </c>
      <c r="I39" s="284">
        <f t="shared" si="6"/>
        <v>12432.325975366568</v>
      </c>
      <c r="J39" s="369">
        <f t="shared" si="6"/>
        <v>127779.59888632721</v>
      </c>
      <c r="K39" s="284">
        <f>SUM(K37:K38)</f>
        <v>791590.75</v>
      </c>
    </row>
    <row r="40" spans="1:11">
      <c r="A40" s="218"/>
      <c r="B40" s="218"/>
      <c r="C40" s="218"/>
      <c r="D40" s="218"/>
      <c r="E40" s="218"/>
      <c r="F40" s="218"/>
      <c r="G40" s="218"/>
      <c r="H40" s="218"/>
      <c r="I40" s="218"/>
      <c r="J40" s="218"/>
      <c r="K40" s="218"/>
    </row>
  </sheetData>
  <mergeCells count="6">
    <mergeCell ref="B7:D8"/>
    <mergeCell ref="F7:H8"/>
    <mergeCell ref="B1:K1"/>
    <mergeCell ref="B2:K2"/>
    <mergeCell ref="B3:K3"/>
    <mergeCell ref="B4:K4"/>
  </mergeCells>
  <phoneticPr fontId="38" type="noConversion"/>
  <pageMargins left="0.5" right="0.3" top="0.75" bottom="0.75" header="0.3" footer="0.3"/>
  <pageSetup scale="80" orientation="portrait" r:id="rId1"/>
  <headerFooter>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3"/>
  <sheetViews>
    <sheetView zoomScaleNormal="100" workbookViewId="0">
      <selection activeCell="H55" sqref="H55"/>
    </sheetView>
  </sheetViews>
  <sheetFormatPr defaultRowHeight="13.8"/>
  <cols>
    <col min="1" max="1" width="21.5546875" style="120" customWidth="1"/>
    <col min="2" max="2" width="15.33203125" style="120" bestFit="1" customWidth="1"/>
    <col min="3" max="3" width="14.109375" style="120" bestFit="1" customWidth="1"/>
    <col min="4" max="4" width="15.33203125" style="121" bestFit="1" customWidth="1"/>
    <col min="5" max="5" width="3.6640625" style="121" customWidth="1"/>
    <col min="6" max="6" width="15.88671875" style="170" bestFit="1" customWidth="1"/>
    <col min="7" max="7" width="3" style="121" customWidth="1"/>
    <col min="8" max="8" width="15.44140625" style="121" bestFit="1" customWidth="1"/>
    <col min="9" max="247" width="9.109375" style="114"/>
    <col min="248" max="248" width="21.5546875" style="114" customWidth="1"/>
    <col min="249" max="249" width="3.6640625" style="114" customWidth="1"/>
    <col min="250" max="250" width="13.44140625" style="114" bestFit="1" customWidth="1"/>
    <col min="251" max="251" width="3.6640625" style="114" customWidth="1"/>
    <col min="252" max="252" width="12.88671875" style="114" bestFit="1" customWidth="1"/>
    <col min="253" max="253" width="3.6640625" style="114" customWidth="1"/>
    <col min="254" max="254" width="14.33203125" style="114" bestFit="1" customWidth="1"/>
    <col min="255" max="255" width="3.6640625" style="114" customWidth="1"/>
    <col min="256" max="256" width="15" style="114" bestFit="1" customWidth="1"/>
    <col min="257" max="257" width="3" style="114" customWidth="1"/>
    <col min="258" max="258" width="15.33203125" style="114" bestFit="1" customWidth="1"/>
    <col min="259" max="260" width="9.109375" style="114"/>
    <col min="261" max="261" width="17.5546875" style="114" bestFit="1" customWidth="1"/>
    <col min="262" max="503" width="9.109375" style="114"/>
    <col min="504" max="504" width="21.5546875" style="114" customWidth="1"/>
    <col min="505" max="505" width="3.6640625" style="114" customWidth="1"/>
    <col min="506" max="506" width="13.44140625" style="114" bestFit="1" customWidth="1"/>
    <col min="507" max="507" width="3.6640625" style="114" customWidth="1"/>
    <col min="508" max="508" width="12.88671875" style="114" bestFit="1" customWidth="1"/>
    <col min="509" max="509" width="3.6640625" style="114" customWidth="1"/>
    <col min="510" max="510" width="14.33203125" style="114" bestFit="1" customWidth="1"/>
    <col min="511" max="511" width="3.6640625" style="114" customWidth="1"/>
    <col min="512" max="512" width="15" style="114" bestFit="1" customWidth="1"/>
    <col min="513" max="513" width="3" style="114" customWidth="1"/>
    <col min="514" max="514" width="15.33203125" style="114" bestFit="1" customWidth="1"/>
    <col min="515" max="516" width="9.109375" style="114"/>
    <col min="517" max="517" width="17.5546875" style="114" bestFit="1" customWidth="1"/>
    <col min="518" max="759" width="9.109375" style="114"/>
    <col min="760" max="760" width="21.5546875" style="114" customWidth="1"/>
    <col min="761" max="761" width="3.6640625" style="114" customWidth="1"/>
    <col min="762" max="762" width="13.44140625" style="114" bestFit="1" customWidth="1"/>
    <col min="763" max="763" width="3.6640625" style="114" customWidth="1"/>
    <col min="764" max="764" width="12.88671875" style="114" bestFit="1" customWidth="1"/>
    <col min="765" max="765" width="3.6640625" style="114" customWidth="1"/>
    <col min="766" max="766" width="14.33203125" style="114" bestFit="1" customWidth="1"/>
    <col min="767" max="767" width="3.6640625" style="114" customWidth="1"/>
    <col min="768" max="768" width="15" style="114" bestFit="1" customWidth="1"/>
    <col min="769" max="769" width="3" style="114" customWidth="1"/>
    <col min="770" max="770" width="15.33203125" style="114" bestFit="1" customWidth="1"/>
    <col min="771" max="772" width="9.109375" style="114"/>
    <col min="773" max="773" width="17.5546875" style="114" bestFit="1" customWidth="1"/>
    <col min="774" max="1015" width="9.109375" style="114"/>
    <col min="1016" max="1016" width="21.5546875" style="114" customWidth="1"/>
    <col min="1017" max="1017" width="3.6640625" style="114" customWidth="1"/>
    <col min="1018" max="1018" width="13.44140625" style="114" bestFit="1" customWidth="1"/>
    <col min="1019" max="1019" width="3.6640625" style="114" customWidth="1"/>
    <col min="1020" max="1020" width="12.88671875" style="114" bestFit="1" customWidth="1"/>
    <col min="1021" max="1021" width="3.6640625" style="114" customWidth="1"/>
    <col min="1022" max="1022" width="14.33203125" style="114" bestFit="1" customWidth="1"/>
    <col min="1023" max="1023" width="3.6640625" style="114" customWidth="1"/>
    <col min="1024" max="1024" width="15" style="114" bestFit="1" customWidth="1"/>
    <col min="1025" max="1025" width="3" style="114" customWidth="1"/>
    <col min="1026" max="1026" width="15.33203125" style="114" bestFit="1" customWidth="1"/>
    <col min="1027" max="1028" width="9.109375" style="114"/>
    <col min="1029" max="1029" width="17.5546875" style="114" bestFit="1" customWidth="1"/>
    <col min="1030" max="1271" width="9.109375" style="114"/>
    <col min="1272" max="1272" width="21.5546875" style="114" customWidth="1"/>
    <col min="1273" max="1273" width="3.6640625" style="114" customWidth="1"/>
    <col min="1274" max="1274" width="13.44140625" style="114" bestFit="1" customWidth="1"/>
    <col min="1275" max="1275" width="3.6640625" style="114" customWidth="1"/>
    <col min="1276" max="1276" width="12.88671875" style="114" bestFit="1" customWidth="1"/>
    <col min="1277" max="1277" width="3.6640625" style="114" customWidth="1"/>
    <col min="1278" max="1278" width="14.33203125" style="114" bestFit="1" customWidth="1"/>
    <col min="1279" max="1279" width="3.6640625" style="114" customWidth="1"/>
    <col min="1280" max="1280" width="15" style="114" bestFit="1" customWidth="1"/>
    <col min="1281" max="1281" width="3" style="114" customWidth="1"/>
    <col min="1282" max="1282" width="15.33203125" style="114" bestFit="1" customWidth="1"/>
    <col min="1283" max="1284" width="9.109375" style="114"/>
    <col min="1285" max="1285" width="17.5546875" style="114" bestFit="1" customWidth="1"/>
    <col min="1286" max="1527" width="9.109375" style="114"/>
    <col min="1528" max="1528" width="21.5546875" style="114" customWidth="1"/>
    <col min="1529" max="1529" width="3.6640625" style="114" customWidth="1"/>
    <col min="1530" max="1530" width="13.44140625" style="114" bestFit="1" customWidth="1"/>
    <col min="1531" max="1531" width="3.6640625" style="114" customWidth="1"/>
    <col min="1532" max="1532" width="12.88671875" style="114" bestFit="1" customWidth="1"/>
    <col min="1533" max="1533" width="3.6640625" style="114" customWidth="1"/>
    <col min="1534" max="1534" width="14.33203125" style="114" bestFit="1" customWidth="1"/>
    <col min="1535" max="1535" width="3.6640625" style="114" customWidth="1"/>
    <col min="1536" max="1536" width="15" style="114" bestFit="1" customWidth="1"/>
    <col min="1537" max="1537" width="3" style="114" customWidth="1"/>
    <col min="1538" max="1538" width="15.33203125" style="114" bestFit="1" customWidth="1"/>
    <col min="1539" max="1540" width="9.109375" style="114"/>
    <col min="1541" max="1541" width="17.5546875" style="114" bestFit="1" customWidth="1"/>
    <col min="1542" max="1783" width="9.109375" style="114"/>
    <col min="1784" max="1784" width="21.5546875" style="114" customWidth="1"/>
    <col min="1785" max="1785" width="3.6640625" style="114" customWidth="1"/>
    <col min="1786" max="1786" width="13.44140625" style="114" bestFit="1" customWidth="1"/>
    <col min="1787" max="1787" width="3.6640625" style="114" customWidth="1"/>
    <col min="1788" max="1788" width="12.88671875" style="114" bestFit="1" customWidth="1"/>
    <col min="1789" max="1789" width="3.6640625" style="114" customWidth="1"/>
    <col min="1790" max="1790" width="14.33203125" style="114" bestFit="1" customWidth="1"/>
    <col min="1791" max="1791" width="3.6640625" style="114" customWidth="1"/>
    <col min="1792" max="1792" width="15" style="114" bestFit="1" customWidth="1"/>
    <col min="1793" max="1793" width="3" style="114" customWidth="1"/>
    <col min="1794" max="1794" width="15.33203125" style="114" bestFit="1" customWidth="1"/>
    <col min="1795" max="1796" width="9.109375" style="114"/>
    <col min="1797" max="1797" width="17.5546875" style="114" bestFit="1" customWidth="1"/>
    <col min="1798" max="2039" width="9.109375" style="114"/>
    <col min="2040" max="2040" width="21.5546875" style="114" customWidth="1"/>
    <col min="2041" max="2041" width="3.6640625" style="114" customWidth="1"/>
    <col min="2042" max="2042" width="13.44140625" style="114" bestFit="1" customWidth="1"/>
    <col min="2043" max="2043" width="3.6640625" style="114" customWidth="1"/>
    <col min="2044" max="2044" width="12.88671875" style="114" bestFit="1" customWidth="1"/>
    <col min="2045" max="2045" width="3.6640625" style="114" customWidth="1"/>
    <col min="2046" max="2046" width="14.33203125" style="114" bestFit="1" customWidth="1"/>
    <col min="2047" max="2047" width="3.6640625" style="114" customWidth="1"/>
    <col min="2048" max="2048" width="15" style="114" bestFit="1" customWidth="1"/>
    <col min="2049" max="2049" width="3" style="114" customWidth="1"/>
    <col min="2050" max="2050" width="15.33203125" style="114" bestFit="1" customWidth="1"/>
    <col min="2051" max="2052" width="9.109375" style="114"/>
    <col min="2053" max="2053" width="17.5546875" style="114" bestFit="1" customWidth="1"/>
    <col min="2054" max="2295" width="9.109375" style="114"/>
    <col min="2296" max="2296" width="21.5546875" style="114" customWidth="1"/>
    <col min="2297" max="2297" width="3.6640625" style="114" customWidth="1"/>
    <col min="2298" max="2298" width="13.44140625" style="114" bestFit="1" customWidth="1"/>
    <col min="2299" max="2299" width="3.6640625" style="114" customWidth="1"/>
    <col min="2300" max="2300" width="12.88671875" style="114" bestFit="1" customWidth="1"/>
    <col min="2301" max="2301" width="3.6640625" style="114" customWidth="1"/>
    <col min="2302" max="2302" width="14.33203125" style="114" bestFit="1" customWidth="1"/>
    <col min="2303" max="2303" width="3.6640625" style="114" customWidth="1"/>
    <col min="2304" max="2304" width="15" style="114" bestFit="1" customWidth="1"/>
    <col min="2305" max="2305" width="3" style="114" customWidth="1"/>
    <col min="2306" max="2306" width="15.33203125" style="114" bestFit="1" customWidth="1"/>
    <col min="2307" max="2308" width="9.109375" style="114"/>
    <col min="2309" max="2309" width="17.5546875" style="114" bestFit="1" customWidth="1"/>
    <col min="2310" max="2551" width="9.109375" style="114"/>
    <col min="2552" max="2552" width="21.5546875" style="114" customWidth="1"/>
    <col min="2553" max="2553" width="3.6640625" style="114" customWidth="1"/>
    <col min="2554" max="2554" width="13.44140625" style="114" bestFit="1" customWidth="1"/>
    <col min="2555" max="2555" width="3.6640625" style="114" customWidth="1"/>
    <col min="2556" max="2556" width="12.88671875" style="114" bestFit="1" customWidth="1"/>
    <col min="2557" max="2557" width="3.6640625" style="114" customWidth="1"/>
    <col min="2558" max="2558" width="14.33203125" style="114" bestFit="1" customWidth="1"/>
    <col min="2559" max="2559" width="3.6640625" style="114" customWidth="1"/>
    <col min="2560" max="2560" width="15" style="114" bestFit="1" customWidth="1"/>
    <col min="2561" max="2561" width="3" style="114" customWidth="1"/>
    <col min="2562" max="2562" width="15.33203125" style="114" bestFit="1" customWidth="1"/>
    <col min="2563" max="2564" width="9.109375" style="114"/>
    <col min="2565" max="2565" width="17.5546875" style="114" bestFit="1" customWidth="1"/>
    <col min="2566" max="2807" width="9.109375" style="114"/>
    <col min="2808" max="2808" width="21.5546875" style="114" customWidth="1"/>
    <col min="2809" max="2809" width="3.6640625" style="114" customWidth="1"/>
    <col min="2810" max="2810" width="13.44140625" style="114" bestFit="1" customWidth="1"/>
    <col min="2811" max="2811" width="3.6640625" style="114" customWidth="1"/>
    <col min="2812" max="2812" width="12.88671875" style="114" bestFit="1" customWidth="1"/>
    <col min="2813" max="2813" width="3.6640625" style="114" customWidth="1"/>
    <col min="2814" max="2814" width="14.33203125" style="114" bestFit="1" customWidth="1"/>
    <col min="2815" max="2815" width="3.6640625" style="114" customWidth="1"/>
    <col min="2816" max="2816" width="15" style="114" bestFit="1" customWidth="1"/>
    <col min="2817" max="2817" width="3" style="114" customWidth="1"/>
    <col min="2818" max="2818" width="15.33203125" style="114" bestFit="1" customWidth="1"/>
    <col min="2819" max="2820" width="9.109375" style="114"/>
    <col min="2821" max="2821" width="17.5546875" style="114" bestFit="1" customWidth="1"/>
    <col min="2822" max="3063" width="9.109375" style="114"/>
    <col min="3064" max="3064" width="21.5546875" style="114" customWidth="1"/>
    <col min="3065" max="3065" width="3.6640625" style="114" customWidth="1"/>
    <col min="3066" max="3066" width="13.44140625" style="114" bestFit="1" customWidth="1"/>
    <col min="3067" max="3067" width="3.6640625" style="114" customWidth="1"/>
    <col min="3068" max="3068" width="12.88671875" style="114" bestFit="1" customWidth="1"/>
    <col min="3069" max="3069" width="3.6640625" style="114" customWidth="1"/>
    <col min="3070" max="3070" width="14.33203125" style="114" bestFit="1" customWidth="1"/>
    <col min="3071" max="3071" width="3.6640625" style="114" customWidth="1"/>
    <col min="3072" max="3072" width="15" style="114" bestFit="1" customWidth="1"/>
    <col min="3073" max="3073" width="3" style="114" customWidth="1"/>
    <col min="3074" max="3074" width="15.33203125" style="114" bestFit="1" customWidth="1"/>
    <col min="3075" max="3076" width="9.109375" style="114"/>
    <col min="3077" max="3077" width="17.5546875" style="114" bestFit="1" customWidth="1"/>
    <col min="3078" max="3319" width="9.109375" style="114"/>
    <col min="3320" max="3320" width="21.5546875" style="114" customWidth="1"/>
    <col min="3321" max="3321" width="3.6640625" style="114" customWidth="1"/>
    <col min="3322" max="3322" width="13.44140625" style="114" bestFit="1" customWidth="1"/>
    <col min="3323" max="3323" width="3.6640625" style="114" customWidth="1"/>
    <col min="3324" max="3324" width="12.88671875" style="114" bestFit="1" customWidth="1"/>
    <col min="3325" max="3325" width="3.6640625" style="114" customWidth="1"/>
    <col min="3326" max="3326" width="14.33203125" style="114" bestFit="1" customWidth="1"/>
    <col min="3327" max="3327" width="3.6640625" style="114" customWidth="1"/>
    <col min="3328" max="3328" width="15" style="114" bestFit="1" customWidth="1"/>
    <col min="3329" max="3329" width="3" style="114" customWidth="1"/>
    <col min="3330" max="3330" width="15.33203125" style="114" bestFit="1" customWidth="1"/>
    <col min="3331" max="3332" width="9.109375" style="114"/>
    <col min="3333" max="3333" width="17.5546875" style="114" bestFit="1" customWidth="1"/>
    <col min="3334" max="3575" width="9.109375" style="114"/>
    <col min="3576" max="3576" width="21.5546875" style="114" customWidth="1"/>
    <col min="3577" max="3577" width="3.6640625" style="114" customWidth="1"/>
    <col min="3578" max="3578" width="13.44140625" style="114" bestFit="1" customWidth="1"/>
    <col min="3579" max="3579" width="3.6640625" style="114" customWidth="1"/>
    <col min="3580" max="3580" width="12.88671875" style="114" bestFit="1" customWidth="1"/>
    <col min="3581" max="3581" width="3.6640625" style="114" customWidth="1"/>
    <col min="3582" max="3582" width="14.33203125" style="114" bestFit="1" customWidth="1"/>
    <col min="3583" max="3583" width="3.6640625" style="114" customWidth="1"/>
    <col min="3584" max="3584" width="15" style="114" bestFit="1" customWidth="1"/>
    <col min="3585" max="3585" width="3" style="114" customWidth="1"/>
    <col min="3586" max="3586" width="15.33203125" style="114" bestFit="1" customWidth="1"/>
    <col min="3587" max="3588" width="9.109375" style="114"/>
    <col min="3589" max="3589" width="17.5546875" style="114" bestFit="1" customWidth="1"/>
    <col min="3590" max="3831" width="9.109375" style="114"/>
    <col min="3832" max="3832" width="21.5546875" style="114" customWidth="1"/>
    <col min="3833" max="3833" width="3.6640625" style="114" customWidth="1"/>
    <col min="3834" max="3834" width="13.44140625" style="114" bestFit="1" customWidth="1"/>
    <col min="3835" max="3835" width="3.6640625" style="114" customWidth="1"/>
    <col min="3836" max="3836" width="12.88671875" style="114" bestFit="1" customWidth="1"/>
    <col min="3837" max="3837" width="3.6640625" style="114" customWidth="1"/>
    <col min="3838" max="3838" width="14.33203125" style="114" bestFit="1" customWidth="1"/>
    <col min="3839" max="3839" width="3.6640625" style="114" customWidth="1"/>
    <col min="3840" max="3840" width="15" style="114" bestFit="1" customWidth="1"/>
    <col min="3841" max="3841" width="3" style="114" customWidth="1"/>
    <col min="3842" max="3842" width="15.33203125" style="114" bestFit="1" customWidth="1"/>
    <col min="3843" max="3844" width="9.109375" style="114"/>
    <col min="3845" max="3845" width="17.5546875" style="114" bestFit="1" customWidth="1"/>
    <col min="3846" max="4087" width="9.109375" style="114"/>
    <col min="4088" max="4088" width="21.5546875" style="114" customWidth="1"/>
    <col min="4089" max="4089" width="3.6640625" style="114" customWidth="1"/>
    <col min="4090" max="4090" width="13.44140625" style="114" bestFit="1" customWidth="1"/>
    <col min="4091" max="4091" width="3.6640625" style="114" customWidth="1"/>
    <col min="4092" max="4092" width="12.88671875" style="114" bestFit="1" customWidth="1"/>
    <col min="4093" max="4093" width="3.6640625" style="114" customWidth="1"/>
    <col min="4094" max="4094" width="14.33203125" style="114" bestFit="1" customWidth="1"/>
    <col min="4095" max="4095" width="3.6640625" style="114" customWidth="1"/>
    <col min="4096" max="4096" width="15" style="114" bestFit="1" customWidth="1"/>
    <col min="4097" max="4097" width="3" style="114" customWidth="1"/>
    <col min="4098" max="4098" width="15.33203125" style="114" bestFit="1" customWidth="1"/>
    <col min="4099" max="4100" width="9.109375" style="114"/>
    <col min="4101" max="4101" width="17.5546875" style="114" bestFit="1" customWidth="1"/>
    <col min="4102" max="4343" width="9.109375" style="114"/>
    <col min="4344" max="4344" width="21.5546875" style="114" customWidth="1"/>
    <col min="4345" max="4345" width="3.6640625" style="114" customWidth="1"/>
    <col min="4346" max="4346" width="13.44140625" style="114" bestFit="1" customWidth="1"/>
    <col min="4347" max="4347" width="3.6640625" style="114" customWidth="1"/>
    <col min="4348" max="4348" width="12.88671875" style="114" bestFit="1" customWidth="1"/>
    <col min="4349" max="4349" width="3.6640625" style="114" customWidth="1"/>
    <col min="4350" max="4350" width="14.33203125" style="114" bestFit="1" customWidth="1"/>
    <col min="4351" max="4351" width="3.6640625" style="114" customWidth="1"/>
    <col min="4352" max="4352" width="15" style="114" bestFit="1" customWidth="1"/>
    <col min="4353" max="4353" width="3" style="114" customWidth="1"/>
    <col min="4354" max="4354" width="15.33203125" style="114" bestFit="1" customWidth="1"/>
    <col min="4355" max="4356" width="9.109375" style="114"/>
    <col min="4357" max="4357" width="17.5546875" style="114" bestFit="1" customWidth="1"/>
    <col min="4358" max="4599" width="9.109375" style="114"/>
    <col min="4600" max="4600" width="21.5546875" style="114" customWidth="1"/>
    <col min="4601" max="4601" width="3.6640625" style="114" customWidth="1"/>
    <col min="4602" max="4602" width="13.44140625" style="114" bestFit="1" customWidth="1"/>
    <col min="4603" max="4603" width="3.6640625" style="114" customWidth="1"/>
    <col min="4604" max="4604" width="12.88671875" style="114" bestFit="1" customWidth="1"/>
    <col min="4605" max="4605" width="3.6640625" style="114" customWidth="1"/>
    <col min="4606" max="4606" width="14.33203125" style="114" bestFit="1" customWidth="1"/>
    <col min="4607" max="4607" width="3.6640625" style="114" customWidth="1"/>
    <col min="4608" max="4608" width="15" style="114" bestFit="1" customWidth="1"/>
    <col min="4609" max="4609" width="3" style="114" customWidth="1"/>
    <col min="4610" max="4610" width="15.33203125" style="114" bestFit="1" customWidth="1"/>
    <col min="4611" max="4612" width="9.109375" style="114"/>
    <col min="4613" max="4613" width="17.5546875" style="114" bestFit="1" customWidth="1"/>
    <col min="4614" max="4855" width="9.109375" style="114"/>
    <col min="4856" max="4856" width="21.5546875" style="114" customWidth="1"/>
    <col min="4857" max="4857" width="3.6640625" style="114" customWidth="1"/>
    <col min="4858" max="4858" width="13.44140625" style="114" bestFit="1" customWidth="1"/>
    <col min="4859" max="4859" width="3.6640625" style="114" customWidth="1"/>
    <col min="4860" max="4860" width="12.88671875" style="114" bestFit="1" customWidth="1"/>
    <col min="4861" max="4861" width="3.6640625" style="114" customWidth="1"/>
    <col min="4862" max="4862" width="14.33203125" style="114" bestFit="1" customWidth="1"/>
    <col min="4863" max="4863" width="3.6640625" style="114" customWidth="1"/>
    <col min="4864" max="4864" width="15" style="114" bestFit="1" customWidth="1"/>
    <col min="4865" max="4865" width="3" style="114" customWidth="1"/>
    <col min="4866" max="4866" width="15.33203125" style="114" bestFit="1" customWidth="1"/>
    <col min="4867" max="4868" width="9.109375" style="114"/>
    <col min="4869" max="4869" width="17.5546875" style="114" bestFit="1" customWidth="1"/>
    <col min="4870" max="5111" width="9.109375" style="114"/>
    <col min="5112" max="5112" width="21.5546875" style="114" customWidth="1"/>
    <col min="5113" max="5113" width="3.6640625" style="114" customWidth="1"/>
    <col min="5114" max="5114" width="13.44140625" style="114" bestFit="1" customWidth="1"/>
    <col min="5115" max="5115" width="3.6640625" style="114" customWidth="1"/>
    <col min="5116" max="5116" width="12.88671875" style="114" bestFit="1" customWidth="1"/>
    <col min="5117" max="5117" width="3.6640625" style="114" customWidth="1"/>
    <col min="5118" max="5118" width="14.33203125" style="114" bestFit="1" customWidth="1"/>
    <col min="5119" max="5119" width="3.6640625" style="114" customWidth="1"/>
    <col min="5120" max="5120" width="15" style="114" bestFit="1" customWidth="1"/>
    <col min="5121" max="5121" width="3" style="114" customWidth="1"/>
    <col min="5122" max="5122" width="15.33203125" style="114" bestFit="1" customWidth="1"/>
    <col min="5123" max="5124" width="9.109375" style="114"/>
    <col min="5125" max="5125" width="17.5546875" style="114" bestFit="1" customWidth="1"/>
    <col min="5126" max="5367" width="9.109375" style="114"/>
    <col min="5368" max="5368" width="21.5546875" style="114" customWidth="1"/>
    <col min="5369" max="5369" width="3.6640625" style="114" customWidth="1"/>
    <col min="5370" max="5370" width="13.44140625" style="114" bestFit="1" customWidth="1"/>
    <col min="5371" max="5371" width="3.6640625" style="114" customWidth="1"/>
    <col min="5372" max="5372" width="12.88671875" style="114" bestFit="1" customWidth="1"/>
    <col min="5373" max="5373" width="3.6640625" style="114" customWidth="1"/>
    <col min="5374" max="5374" width="14.33203125" style="114" bestFit="1" customWidth="1"/>
    <col min="5375" max="5375" width="3.6640625" style="114" customWidth="1"/>
    <col min="5376" max="5376" width="15" style="114" bestFit="1" customWidth="1"/>
    <col min="5377" max="5377" width="3" style="114" customWidth="1"/>
    <col min="5378" max="5378" width="15.33203125" style="114" bestFit="1" customWidth="1"/>
    <col min="5379" max="5380" width="9.109375" style="114"/>
    <col min="5381" max="5381" width="17.5546875" style="114" bestFit="1" customWidth="1"/>
    <col min="5382" max="5623" width="9.109375" style="114"/>
    <col min="5624" max="5624" width="21.5546875" style="114" customWidth="1"/>
    <col min="5625" max="5625" width="3.6640625" style="114" customWidth="1"/>
    <col min="5626" max="5626" width="13.44140625" style="114" bestFit="1" customWidth="1"/>
    <col min="5627" max="5627" width="3.6640625" style="114" customWidth="1"/>
    <col min="5628" max="5628" width="12.88671875" style="114" bestFit="1" customWidth="1"/>
    <col min="5629" max="5629" width="3.6640625" style="114" customWidth="1"/>
    <col min="5630" max="5630" width="14.33203125" style="114" bestFit="1" customWidth="1"/>
    <col min="5631" max="5631" width="3.6640625" style="114" customWidth="1"/>
    <col min="5632" max="5632" width="15" style="114" bestFit="1" customWidth="1"/>
    <col min="5633" max="5633" width="3" style="114" customWidth="1"/>
    <col min="5634" max="5634" width="15.33203125" style="114" bestFit="1" customWidth="1"/>
    <col min="5635" max="5636" width="9.109375" style="114"/>
    <col min="5637" max="5637" width="17.5546875" style="114" bestFit="1" customWidth="1"/>
    <col min="5638" max="5879" width="9.109375" style="114"/>
    <col min="5880" max="5880" width="21.5546875" style="114" customWidth="1"/>
    <col min="5881" max="5881" width="3.6640625" style="114" customWidth="1"/>
    <col min="5882" max="5882" width="13.44140625" style="114" bestFit="1" customWidth="1"/>
    <col min="5883" max="5883" width="3.6640625" style="114" customWidth="1"/>
    <col min="5884" max="5884" width="12.88671875" style="114" bestFit="1" customWidth="1"/>
    <col min="5885" max="5885" width="3.6640625" style="114" customWidth="1"/>
    <col min="5886" max="5886" width="14.33203125" style="114" bestFit="1" customWidth="1"/>
    <col min="5887" max="5887" width="3.6640625" style="114" customWidth="1"/>
    <col min="5888" max="5888" width="15" style="114" bestFit="1" customWidth="1"/>
    <col min="5889" max="5889" width="3" style="114" customWidth="1"/>
    <col min="5890" max="5890" width="15.33203125" style="114" bestFit="1" customWidth="1"/>
    <col min="5891" max="5892" width="9.109375" style="114"/>
    <col min="5893" max="5893" width="17.5546875" style="114" bestFit="1" customWidth="1"/>
    <col min="5894" max="6135" width="9.109375" style="114"/>
    <col min="6136" max="6136" width="21.5546875" style="114" customWidth="1"/>
    <col min="6137" max="6137" width="3.6640625" style="114" customWidth="1"/>
    <col min="6138" max="6138" width="13.44140625" style="114" bestFit="1" customWidth="1"/>
    <col min="6139" max="6139" width="3.6640625" style="114" customWidth="1"/>
    <col min="6140" max="6140" width="12.88671875" style="114" bestFit="1" customWidth="1"/>
    <col min="6141" max="6141" width="3.6640625" style="114" customWidth="1"/>
    <col min="6142" max="6142" width="14.33203125" style="114" bestFit="1" customWidth="1"/>
    <col min="6143" max="6143" width="3.6640625" style="114" customWidth="1"/>
    <col min="6144" max="6144" width="15" style="114" bestFit="1" customWidth="1"/>
    <col min="6145" max="6145" width="3" style="114" customWidth="1"/>
    <col min="6146" max="6146" width="15.33203125" style="114" bestFit="1" customWidth="1"/>
    <col min="6147" max="6148" width="9.109375" style="114"/>
    <col min="6149" max="6149" width="17.5546875" style="114" bestFit="1" customWidth="1"/>
    <col min="6150" max="6391" width="9.109375" style="114"/>
    <col min="6392" max="6392" width="21.5546875" style="114" customWidth="1"/>
    <col min="6393" max="6393" width="3.6640625" style="114" customWidth="1"/>
    <col min="6394" max="6394" width="13.44140625" style="114" bestFit="1" customWidth="1"/>
    <col min="6395" max="6395" width="3.6640625" style="114" customWidth="1"/>
    <col min="6396" max="6396" width="12.88671875" style="114" bestFit="1" customWidth="1"/>
    <col min="6397" max="6397" width="3.6640625" style="114" customWidth="1"/>
    <col min="6398" max="6398" width="14.33203125" style="114" bestFit="1" customWidth="1"/>
    <col min="6399" max="6399" width="3.6640625" style="114" customWidth="1"/>
    <col min="6400" max="6400" width="15" style="114" bestFit="1" customWidth="1"/>
    <col min="6401" max="6401" width="3" style="114" customWidth="1"/>
    <col min="6402" max="6402" width="15.33203125" style="114" bestFit="1" customWidth="1"/>
    <col min="6403" max="6404" width="9.109375" style="114"/>
    <col min="6405" max="6405" width="17.5546875" style="114" bestFit="1" customWidth="1"/>
    <col min="6406" max="6647" width="9.109375" style="114"/>
    <col min="6648" max="6648" width="21.5546875" style="114" customWidth="1"/>
    <col min="6649" max="6649" width="3.6640625" style="114" customWidth="1"/>
    <col min="6650" max="6650" width="13.44140625" style="114" bestFit="1" customWidth="1"/>
    <col min="6651" max="6651" width="3.6640625" style="114" customWidth="1"/>
    <col min="6652" max="6652" width="12.88671875" style="114" bestFit="1" customWidth="1"/>
    <col min="6653" max="6653" width="3.6640625" style="114" customWidth="1"/>
    <col min="6654" max="6654" width="14.33203125" style="114" bestFit="1" customWidth="1"/>
    <col min="6655" max="6655" width="3.6640625" style="114" customWidth="1"/>
    <col min="6656" max="6656" width="15" style="114" bestFit="1" customWidth="1"/>
    <col min="6657" max="6657" width="3" style="114" customWidth="1"/>
    <col min="6658" max="6658" width="15.33203125" style="114" bestFit="1" customWidth="1"/>
    <col min="6659" max="6660" width="9.109375" style="114"/>
    <col min="6661" max="6661" width="17.5546875" style="114" bestFit="1" customWidth="1"/>
    <col min="6662" max="6903" width="9.109375" style="114"/>
    <col min="6904" max="6904" width="21.5546875" style="114" customWidth="1"/>
    <col min="6905" max="6905" width="3.6640625" style="114" customWidth="1"/>
    <col min="6906" max="6906" width="13.44140625" style="114" bestFit="1" customWidth="1"/>
    <col min="6907" max="6907" width="3.6640625" style="114" customWidth="1"/>
    <col min="6908" max="6908" width="12.88671875" style="114" bestFit="1" customWidth="1"/>
    <col min="6909" max="6909" width="3.6640625" style="114" customWidth="1"/>
    <col min="6910" max="6910" width="14.33203125" style="114" bestFit="1" customWidth="1"/>
    <col min="6911" max="6911" width="3.6640625" style="114" customWidth="1"/>
    <col min="6912" max="6912" width="15" style="114" bestFit="1" customWidth="1"/>
    <col min="6913" max="6913" width="3" style="114" customWidth="1"/>
    <col min="6914" max="6914" width="15.33203125" style="114" bestFit="1" customWidth="1"/>
    <col min="6915" max="6916" width="9.109375" style="114"/>
    <col min="6917" max="6917" width="17.5546875" style="114" bestFit="1" customWidth="1"/>
    <col min="6918" max="7159" width="9.109375" style="114"/>
    <col min="7160" max="7160" width="21.5546875" style="114" customWidth="1"/>
    <col min="7161" max="7161" width="3.6640625" style="114" customWidth="1"/>
    <col min="7162" max="7162" width="13.44140625" style="114" bestFit="1" customWidth="1"/>
    <col min="7163" max="7163" width="3.6640625" style="114" customWidth="1"/>
    <col min="7164" max="7164" width="12.88671875" style="114" bestFit="1" customWidth="1"/>
    <col min="7165" max="7165" width="3.6640625" style="114" customWidth="1"/>
    <col min="7166" max="7166" width="14.33203125" style="114" bestFit="1" customWidth="1"/>
    <col min="7167" max="7167" width="3.6640625" style="114" customWidth="1"/>
    <col min="7168" max="7168" width="15" style="114" bestFit="1" customWidth="1"/>
    <col min="7169" max="7169" width="3" style="114" customWidth="1"/>
    <col min="7170" max="7170" width="15.33203125" style="114" bestFit="1" customWidth="1"/>
    <col min="7171" max="7172" width="9.109375" style="114"/>
    <col min="7173" max="7173" width="17.5546875" style="114" bestFit="1" customWidth="1"/>
    <col min="7174" max="7415" width="9.109375" style="114"/>
    <col min="7416" max="7416" width="21.5546875" style="114" customWidth="1"/>
    <col min="7417" max="7417" width="3.6640625" style="114" customWidth="1"/>
    <col min="7418" max="7418" width="13.44140625" style="114" bestFit="1" customWidth="1"/>
    <col min="7419" max="7419" width="3.6640625" style="114" customWidth="1"/>
    <col min="7420" max="7420" width="12.88671875" style="114" bestFit="1" customWidth="1"/>
    <col min="7421" max="7421" width="3.6640625" style="114" customWidth="1"/>
    <col min="7422" max="7422" width="14.33203125" style="114" bestFit="1" customWidth="1"/>
    <col min="7423" max="7423" width="3.6640625" style="114" customWidth="1"/>
    <col min="7424" max="7424" width="15" style="114" bestFit="1" customWidth="1"/>
    <col min="7425" max="7425" width="3" style="114" customWidth="1"/>
    <col min="7426" max="7426" width="15.33203125" style="114" bestFit="1" customWidth="1"/>
    <col min="7427" max="7428" width="9.109375" style="114"/>
    <col min="7429" max="7429" width="17.5546875" style="114" bestFit="1" customWidth="1"/>
    <col min="7430" max="7671" width="9.109375" style="114"/>
    <col min="7672" max="7672" width="21.5546875" style="114" customWidth="1"/>
    <col min="7673" max="7673" width="3.6640625" style="114" customWidth="1"/>
    <col min="7674" max="7674" width="13.44140625" style="114" bestFit="1" customWidth="1"/>
    <col min="7675" max="7675" width="3.6640625" style="114" customWidth="1"/>
    <col min="7676" max="7676" width="12.88671875" style="114" bestFit="1" customWidth="1"/>
    <col min="7677" max="7677" width="3.6640625" style="114" customWidth="1"/>
    <col min="7678" max="7678" width="14.33203125" style="114" bestFit="1" customWidth="1"/>
    <col min="7679" max="7679" width="3.6640625" style="114" customWidth="1"/>
    <col min="7680" max="7680" width="15" style="114" bestFit="1" customWidth="1"/>
    <col min="7681" max="7681" width="3" style="114" customWidth="1"/>
    <col min="7682" max="7682" width="15.33203125" style="114" bestFit="1" customWidth="1"/>
    <col min="7683" max="7684" width="9.109375" style="114"/>
    <col min="7685" max="7685" width="17.5546875" style="114" bestFit="1" customWidth="1"/>
    <col min="7686" max="7927" width="9.109375" style="114"/>
    <col min="7928" max="7928" width="21.5546875" style="114" customWidth="1"/>
    <col min="7929" max="7929" width="3.6640625" style="114" customWidth="1"/>
    <col min="7930" max="7930" width="13.44140625" style="114" bestFit="1" customWidth="1"/>
    <col min="7931" max="7931" width="3.6640625" style="114" customWidth="1"/>
    <col min="7932" max="7932" width="12.88671875" style="114" bestFit="1" customWidth="1"/>
    <col min="7933" max="7933" width="3.6640625" style="114" customWidth="1"/>
    <col min="7934" max="7934" width="14.33203125" style="114" bestFit="1" customWidth="1"/>
    <col min="7935" max="7935" width="3.6640625" style="114" customWidth="1"/>
    <col min="7936" max="7936" width="15" style="114" bestFit="1" customWidth="1"/>
    <col min="7937" max="7937" width="3" style="114" customWidth="1"/>
    <col min="7938" max="7938" width="15.33203125" style="114" bestFit="1" customWidth="1"/>
    <col min="7939" max="7940" width="9.109375" style="114"/>
    <col min="7941" max="7941" width="17.5546875" style="114" bestFit="1" customWidth="1"/>
    <col min="7942" max="8183" width="9.109375" style="114"/>
    <col min="8184" max="8184" width="21.5546875" style="114" customWidth="1"/>
    <col min="8185" max="8185" width="3.6640625" style="114" customWidth="1"/>
    <col min="8186" max="8186" width="13.44140625" style="114" bestFit="1" customWidth="1"/>
    <col min="8187" max="8187" width="3.6640625" style="114" customWidth="1"/>
    <col min="8188" max="8188" width="12.88671875" style="114" bestFit="1" customWidth="1"/>
    <col min="8189" max="8189" width="3.6640625" style="114" customWidth="1"/>
    <col min="8190" max="8190" width="14.33203125" style="114" bestFit="1" customWidth="1"/>
    <col min="8191" max="8191" width="3.6640625" style="114" customWidth="1"/>
    <col min="8192" max="8192" width="15" style="114" bestFit="1" customWidth="1"/>
    <col min="8193" max="8193" width="3" style="114" customWidth="1"/>
    <col min="8194" max="8194" width="15.33203125" style="114" bestFit="1" customWidth="1"/>
    <col min="8195" max="8196" width="9.109375" style="114"/>
    <col min="8197" max="8197" width="17.5546875" style="114" bestFit="1" customWidth="1"/>
    <col min="8198" max="8439" width="9.109375" style="114"/>
    <col min="8440" max="8440" width="21.5546875" style="114" customWidth="1"/>
    <col min="8441" max="8441" width="3.6640625" style="114" customWidth="1"/>
    <col min="8442" max="8442" width="13.44140625" style="114" bestFit="1" customWidth="1"/>
    <col min="8443" max="8443" width="3.6640625" style="114" customWidth="1"/>
    <col min="8444" max="8444" width="12.88671875" style="114" bestFit="1" customWidth="1"/>
    <col min="8445" max="8445" width="3.6640625" style="114" customWidth="1"/>
    <col min="8446" max="8446" width="14.33203125" style="114" bestFit="1" customWidth="1"/>
    <col min="8447" max="8447" width="3.6640625" style="114" customWidth="1"/>
    <col min="8448" max="8448" width="15" style="114" bestFit="1" customWidth="1"/>
    <col min="8449" max="8449" width="3" style="114" customWidth="1"/>
    <col min="8450" max="8450" width="15.33203125" style="114" bestFit="1" customWidth="1"/>
    <col min="8451" max="8452" width="9.109375" style="114"/>
    <col min="8453" max="8453" width="17.5546875" style="114" bestFit="1" customWidth="1"/>
    <col min="8454" max="8695" width="9.109375" style="114"/>
    <col min="8696" max="8696" width="21.5546875" style="114" customWidth="1"/>
    <col min="8697" max="8697" width="3.6640625" style="114" customWidth="1"/>
    <col min="8698" max="8698" width="13.44140625" style="114" bestFit="1" customWidth="1"/>
    <col min="8699" max="8699" width="3.6640625" style="114" customWidth="1"/>
    <col min="8700" max="8700" width="12.88671875" style="114" bestFit="1" customWidth="1"/>
    <col min="8701" max="8701" width="3.6640625" style="114" customWidth="1"/>
    <col min="8702" max="8702" width="14.33203125" style="114" bestFit="1" customWidth="1"/>
    <col min="8703" max="8703" width="3.6640625" style="114" customWidth="1"/>
    <col min="8704" max="8704" width="15" style="114" bestFit="1" customWidth="1"/>
    <col min="8705" max="8705" width="3" style="114" customWidth="1"/>
    <col min="8706" max="8706" width="15.33203125" style="114" bestFit="1" customWidth="1"/>
    <col min="8707" max="8708" width="9.109375" style="114"/>
    <col min="8709" max="8709" width="17.5546875" style="114" bestFit="1" customWidth="1"/>
    <col min="8710" max="8951" width="9.109375" style="114"/>
    <col min="8952" max="8952" width="21.5546875" style="114" customWidth="1"/>
    <col min="8953" max="8953" width="3.6640625" style="114" customWidth="1"/>
    <col min="8954" max="8954" width="13.44140625" style="114" bestFit="1" customWidth="1"/>
    <col min="8955" max="8955" width="3.6640625" style="114" customWidth="1"/>
    <col min="8956" max="8956" width="12.88671875" style="114" bestFit="1" customWidth="1"/>
    <col min="8957" max="8957" width="3.6640625" style="114" customWidth="1"/>
    <col min="8958" max="8958" width="14.33203125" style="114" bestFit="1" customWidth="1"/>
    <col min="8959" max="8959" width="3.6640625" style="114" customWidth="1"/>
    <col min="8960" max="8960" width="15" style="114" bestFit="1" customWidth="1"/>
    <col min="8961" max="8961" width="3" style="114" customWidth="1"/>
    <col min="8962" max="8962" width="15.33203125" style="114" bestFit="1" customWidth="1"/>
    <col min="8963" max="8964" width="9.109375" style="114"/>
    <col min="8965" max="8965" width="17.5546875" style="114" bestFit="1" customWidth="1"/>
    <col min="8966" max="9207" width="9.109375" style="114"/>
    <col min="9208" max="9208" width="21.5546875" style="114" customWidth="1"/>
    <col min="9209" max="9209" width="3.6640625" style="114" customWidth="1"/>
    <col min="9210" max="9210" width="13.44140625" style="114" bestFit="1" customWidth="1"/>
    <col min="9211" max="9211" width="3.6640625" style="114" customWidth="1"/>
    <col min="9212" max="9212" width="12.88671875" style="114" bestFit="1" customWidth="1"/>
    <col min="9213" max="9213" width="3.6640625" style="114" customWidth="1"/>
    <col min="9214" max="9214" width="14.33203125" style="114" bestFit="1" customWidth="1"/>
    <col min="9215" max="9215" width="3.6640625" style="114" customWidth="1"/>
    <col min="9216" max="9216" width="15" style="114" bestFit="1" customWidth="1"/>
    <col min="9217" max="9217" width="3" style="114" customWidth="1"/>
    <col min="9218" max="9218" width="15.33203125" style="114" bestFit="1" customWidth="1"/>
    <col min="9219" max="9220" width="9.109375" style="114"/>
    <col min="9221" max="9221" width="17.5546875" style="114" bestFit="1" customWidth="1"/>
    <col min="9222" max="9463" width="9.109375" style="114"/>
    <col min="9464" max="9464" width="21.5546875" style="114" customWidth="1"/>
    <col min="9465" max="9465" width="3.6640625" style="114" customWidth="1"/>
    <col min="9466" max="9466" width="13.44140625" style="114" bestFit="1" customWidth="1"/>
    <col min="9467" max="9467" width="3.6640625" style="114" customWidth="1"/>
    <col min="9468" max="9468" width="12.88671875" style="114" bestFit="1" customWidth="1"/>
    <col min="9469" max="9469" width="3.6640625" style="114" customWidth="1"/>
    <col min="9470" max="9470" width="14.33203125" style="114" bestFit="1" customWidth="1"/>
    <col min="9471" max="9471" width="3.6640625" style="114" customWidth="1"/>
    <col min="9472" max="9472" width="15" style="114" bestFit="1" customWidth="1"/>
    <col min="9473" max="9473" width="3" style="114" customWidth="1"/>
    <col min="9474" max="9474" width="15.33203125" style="114" bestFit="1" customWidth="1"/>
    <col min="9475" max="9476" width="9.109375" style="114"/>
    <col min="9477" max="9477" width="17.5546875" style="114" bestFit="1" customWidth="1"/>
    <col min="9478" max="9719" width="9.109375" style="114"/>
    <col min="9720" max="9720" width="21.5546875" style="114" customWidth="1"/>
    <col min="9721" max="9721" width="3.6640625" style="114" customWidth="1"/>
    <col min="9722" max="9722" width="13.44140625" style="114" bestFit="1" customWidth="1"/>
    <col min="9723" max="9723" width="3.6640625" style="114" customWidth="1"/>
    <col min="9724" max="9724" width="12.88671875" style="114" bestFit="1" customWidth="1"/>
    <col min="9725" max="9725" width="3.6640625" style="114" customWidth="1"/>
    <col min="9726" max="9726" width="14.33203125" style="114" bestFit="1" customWidth="1"/>
    <col min="9727" max="9727" width="3.6640625" style="114" customWidth="1"/>
    <col min="9728" max="9728" width="15" style="114" bestFit="1" customWidth="1"/>
    <col min="9729" max="9729" width="3" style="114" customWidth="1"/>
    <col min="9730" max="9730" width="15.33203125" style="114" bestFit="1" customWidth="1"/>
    <col min="9731" max="9732" width="9.109375" style="114"/>
    <col min="9733" max="9733" width="17.5546875" style="114" bestFit="1" customWidth="1"/>
    <col min="9734" max="9975" width="9.109375" style="114"/>
    <col min="9976" max="9976" width="21.5546875" style="114" customWidth="1"/>
    <col min="9977" max="9977" width="3.6640625" style="114" customWidth="1"/>
    <col min="9978" max="9978" width="13.44140625" style="114" bestFit="1" customWidth="1"/>
    <col min="9979" max="9979" width="3.6640625" style="114" customWidth="1"/>
    <col min="9980" max="9980" width="12.88671875" style="114" bestFit="1" customWidth="1"/>
    <col min="9981" max="9981" width="3.6640625" style="114" customWidth="1"/>
    <col min="9982" max="9982" width="14.33203125" style="114" bestFit="1" customWidth="1"/>
    <col min="9983" max="9983" width="3.6640625" style="114" customWidth="1"/>
    <col min="9984" max="9984" width="15" style="114" bestFit="1" customWidth="1"/>
    <col min="9985" max="9985" width="3" style="114" customWidth="1"/>
    <col min="9986" max="9986" width="15.33203125" style="114" bestFit="1" customWidth="1"/>
    <col min="9987" max="9988" width="9.109375" style="114"/>
    <col min="9989" max="9989" width="17.5546875" style="114" bestFit="1" customWidth="1"/>
    <col min="9990" max="10231" width="9.109375" style="114"/>
    <col min="10232" max="10232" width="21.5546875" style="114" customWidth="1"/>
    <col min="10233" max="10233" width="3.6640625" style="114" customWidth="1"/>
    <col min="10234" max="10234" width="13.44140625" style="114" bestFit="1" customWidth="1"/>
    <col min="10235" max="10235" width="3.6640625" style="114" customWidth="1"/>
    <col min="10236" max="10236" width="12.88671875" style="114" bestFit="1" customWidth="1"/>
    <col min="10237" max="10237" width="3.6640625" style="114" customWidth="1"/>
    <col min="10238" max="10238" width="14.33203125" style="114" bestFit="1" customWidth="1"/>
    <col min="10239" max="10239" width="3.6640625" style="114" customWidth="1"/>
    <col min="10240" max="10240" width="15" style="114" bestFit="1" customWidth="1"/>
    <col min="10241" max="10241" width="3" style="114" customWidth="1"/>
    <col min="10242" max="10242" width="15.33203125" style="114" bestFit="1" customWidth="1"/>
    <col min="10243" max="10244" width="9.109375" style="114"/>
    <col min="10245" max="10245" width="17.5546875" style="114" bestFit="1" customWidth="1"/>
    <col min="10246" max="10487" width="9.109375" style="114"/>
    <col min="10488" max="10488" width="21.5546875" style="114" customWidth="1"/>
    <col min="10489" max="10489" width="3.6640625" style="114" customWidth="1"/>
    <col min="10490" max="10490" width="13.44140625" style="114" bestFit="1" customWidth="1"/>
    <col min="10491" max="10491" width="3.6640625" style="114" customWidth="1"/>
    <col min="10492" max="10492" width="12.88671875" style="114" bestFit="1" customWidth="1"/>
    <col min="10493" max="10493" width="3.6640625" style="114" customWidth="1"/>
    <col min="10494" max="10494" width="14.33203125" style="114" bestFit="1" customWidth="1"/>
    <col min="10495" max="10495" width="3.6640625" style="114" customWidth="1"/>
    <col min="10496" max="10496" width="15" style="114" bestFit="1" customWidth="1"/>
    <col min="10497" max="10497" width="3" style="114" customWidth="1"/>
    <col min="10498" max="10498" width="15.33203125" style="114" bestFit="1" customWidth="1"/>
    <col min="10499" max="10500" width="9.109375" style="114"/>
    <col min="10501" max="10501" width="17.5546875" style="114" bestFit="1" customWidth="1"/>
    <col min="10502" max="10743" width="9.109375" style="114"/>
    <col min="10744" max="10744" width="21.5546875" style="114" customWidth="1"/>
    <col min="10745" max="10745" width="3.6640625" style="114" customWidth="1"/>
    <col min="10746" max="10746" width="13.44140625" style="114" bestFit="1" customWidth="1"/>
    <col min="10747" max="10747" width="3.6640625" style="114" customWidth="1"/>
    <col min="10748" max="10748" width="12.88671875" style="114" bestFit="1" customWidth="1"/>
    <col min="10749" max="10749" width="3.6640625" style="114" customWidth="1"/>
    <col min="10750" max="10750" width="14.33203125" style="114" bestFit="1" customWidth="1"/>
    <col min="10751" max="10751" width="3.6640625" style="114" customWidth="1"/>
    <col min="10752" max="10752" width="15" style="114" bestFit="1" customWidth="1"/>
    <col min="10753" max="10753" width="3" style="114" customWidth="1"/>
    <col min="10754" max="10754" width="15.33203125" style="114" bestFit="1" customWidth="1"/>
    <col min="10755" max="10756" width="9.109375" style="114"/>
    <col min="10757" max="10757" width="17.5546875" style="114" bestFit="1" customWidth="1"/>
    <col min="10758" max="10999" width="9.109375" style="114"/>
    <col min="11000" max="11000" width="21.5546875" style="114" customWidth="1"/>
    <col min="11001" max="11001" width="3.6640625" style="114" customWidth="1"/>
    <col min="11002" max="11002" width="13.44140625" style="114" bestFit="1" customWidth="1"/>
    <col min="11003" max="11003" width="3.6640625" style="114" customWidth="1"/>
    <col min="11004" max="11004" width="12.88671875" style="114" bestFit="1" customWidth="1"/>
    <col min="11005" max="11005" width="3.6640625" style="114" customWidth="1"/>
    <col min="11006" max="11006" width="14.33203125" style="114" bestFit="1" customWidth="1"/>
    <col min="11007" max="11007" width="3.6640625" style="114" customWidth="1"/>
    <col min="11008" max="11008" width="15" style="114" bestFit="1" customWidth="1"/>
    <col min="11009" max="11009" width="3" style="114" customWidth="1"/>
    <col min="11010" max="11010" width="15.33203125" style="114" bestFit="1" customWidth="1"/>
    <col min="11011" max="11012" width="9.109375" style="114"/>
    <col min="11013" max="11013" width="17.5546875" style="114" bestFit="1" customWidth="1"/>
    <col min="11014" max="11255" width="9.109375" style="114"/>
    <col min="11256" max="11256" width="21.5546875" style="114" customWidth="1"/>
    <col min="11257" max="11257" width="3.6640625" style="114" customWidth="1"/>
    <col min="11258" max="11258" width="13.44140625" style="114" bestFit="1" customWidth="1"/>
    <col min="11259" max="11259" width="3.6640625" style="114" customWidth="1"/>
    <col min="11260" max="11260" width="12.88671875" style="114" bestFit="1" customWidth="1"/>
    <col min="11261" max="11261" width="3.6640625" style="114" customWidth="1"/>
    <col min="11262" max="11262" width="14.33203125" style="114" bestFit="1" customWidth="1"/>
    <col min="11263" max="11263" width="3.6640625" style="114" customWidth="1"/>
    <col min="11264" max="11264" width="15" style="114" bestFit="1" customWidth="1"/>
    <col min="11265" max="11265" width="3" style="114" customWidth="1"/>
    <col min="11266" max="11266" width="15.33203125" style="114" bestFit="1" customWidth="1"/>
    <col min="11267" max="11268" width="9.109375" style="114"/>
    <col min="11269" max="11269" width="17.5546875" style="114" bestFit="1" customWidth="1"/>
    <col min="11270" max="11511" width="9.109375" style="114"/>
    <col min="11512" max="11512" width="21.5546875" style="114" customWidth="1"/>
    <col min="11513" max="11513" width="3.6640625" style="114" customWidth="1"/>
    <col min="11514" max="11514" width="13.44140625" style="114" bestFit="1" customWidth="1"/>
    <col min="11515" max="11515" width="3.6640625" style="114" customWidth="1"/>
    <col min="11516" max="11516" width="12.88671875" style="114" bestFit="1" customWidth="1"/>
    <col min="11517" max="11517" width="3.6640625" style="114" customWidth="1"/>
    <col min="11518" max="11518" width="14.33203125" style="114" bestFit="1" customWidth="1"/>
    <col min="11519" max="11519" width="3.6640625" style="114" customWidth="1"/>
    <col min="11520" max="11520" width="15" style="114" bestFit="1" customWidth="1"/>
    <col min="11521" max="11521" width="3" style="114" customWidth="1"/>
    <col min="11522" max="11522" width="15.33203125" style="114" bestFit="1" customWidth="1"/>
    <col min="11523" max="11524" width="9.109375" style="114"/>
    <col min="11525" max="11525" width="17.5546875" style="114" bestFit="1" customWidth="1"/>
    <col min="11526" max="11767" width="9.109375" style="114"/>
    <col min="11768" max="11768" width="21.5546875" style="114" customWidth="1"/>
    <col min="11769" max="11769" width="3.6640625" style="114" customWidth="1"/>
    <col min="11770" max="11770" width="13.44140625" style="114" bestFit="1" customWidth="1"/>
    <col min="11771" max="11771" width="3.6640625" style="114" customWidth="1"/>
    <col min="11772" max="11772" width="12.88671875" style="114" bestFit="1" customWidth="1"/>
    <col min="11773" max="11773" width="3.6640625" style="114" customWidth="1"/>
    <col min="11774" max="11774" width="14.33203125" style="114" bestFit="1" customWidth="1"/>
    <col min="11775" max="11775" width="3.6640625" style="114" customWidth="1"/>
    <col min="11776" max="11776" width="15" style="114" bestFit="1" customWidth="1"/>
    <col min="11777" max="11777" width="3" style="114" customWidth="1"/>
    <col min="11778" max="11778" width="15.33203125" style="114" bestFit="1" customWidth="1"/>
    <col min="11779" max="11780" width="9.109375" style="114"/>
    <col min="11781" max="11781" width="17.5546875" style="114" bestFit="1" customWidth="1"/>
    <col min="11782" max="12023" width="9.109375" style="114"/>
    <col min="12024" max="12024" width="21.5546875" style="114" customWidth="1"/>
    <col min="12025" max="12025" width="3.6640625" style="114" customWidth="1"/>
    <col min="12026" max="12026" width="13.44140625" style="114" bestFit="1" customWidth="1"/>
    <col min="12027" max="12027" width="3.6640625" style="114" customWidth="1"/>
    <col min="12028" max="12028" width="12.88671875" style="114" bestFit="1" customWidth="1"/>
    <col min="12029" max="12029" width="3.6640625" style="114" customWidth="1"/>
    <col min="12030" max="12030" width="14.33203125" style="114" bestFit="1" customWidth="1"/>
    <col min="12031" max="12031" width="3.6640625" style="114" customWidth="1"/>
    <col min="12032" max="12032" width="15" style="114" bestFit="1" customWidth="1"/>
    <col min="12033" max="12033" width="3" style="114" customWidth="1"/>
    <col min="12034" max="12034" width="15.33203125" style="114" bestFit="1" customWidth="1"/>
    <col min="12035" max="12036" width="9.109375" style="114"/>
    <col min="12037" max="12037" width="17.5546875" style="114" bestFit="1" customWidth="1"/>
    <col min="12038" max="12279" width="9.109375" style="114"/>
    <col min="12280" max="12280" width="21.5546875" style="114" customWidth="1"/>
    <col min="12281" max="12281" width="3.6640625" style="114" customWidth="1"/>
    <col min="12282" max="12282" width="13.44140625" style="114" bestFit="1" customWidth="1"/>
    <col min="12283" max="12283" width="3.6640625" style="114" customWidth="1"/>
    <col min="12284" max="12284" width="12.88671875" style="114" bestFit="1" customWidth="1"/>
    <col min="12285" max="12285" width="3.6640625" style="114" customWidth="1"/>
    <col min="12286" max="12286" width="14.33203125" style="114" bestFit="1" customWidth="1"/>
    <col min="12287" max="12287" width="3.6640625" style="114" customWidth="1"/>
    <col min="12288" max="12288" width="15" style="114" bestFit="1" customWidth="1"/>
    <col min="12289" max="12289" width="3" style="114" customWidth="1"/>
    <col min="12290" max="12290" width="15.33203125" style="114" bestFit="1" customWidth="1"/>
    <col min="12291" max="12292" width="9.109375" style="114"/>
    <col min="12293" max="12293" width="17.5546875" style="114" bestFit="1" customWidth="1"/>
    <col min="12294" max="12535" width="9.109375" style="114"/>
    <col min="12536" max="12536" width="21.5546875" style="114" customWidth="1"/>
    <col min="12537" max="12537" width="3.6640625" style="114" customWidth="1"/>
    <col min="12538" max="12538" width="13.44140625" style="114" bestFit="1" customWidth="1"/>
    <col min="12539" max="12539" width="3.6640625" style="114" customWidth="1"/>
    <col min="12540" max="12540" width="12.88671875" style="114" bestFit="1" customWidth="1"/>
    <col min="12541" max="12541" width="3.6640625" style="114" customWidth="1"/>
    <col min="12542" max="12542" width="14.33203125" style="114" bestFit="1" customWidth="1"/>
    <col min="12543" max="12543" width="3.6640625" style="114" customWidth="1"/>
    <col min="12544" max="12544" width="15" style="114" bestFit="1" customWidth="1"/>
    <col min="12545" max="12545" width="3" style="114" customWidth="1"/>
    <col min="12546" max="12546" width="15.33203125" style="114" bestFit="1" customWidth="1"/>
    <col min="12547" max="12548" width="9.109375" style="114"/>
    <col min="12549" max="12549" width="17.5546875" style="114" bestFit="1" customWidth="1"/>
    <col min="12550" max="12791" width="9.109375" style="114"/>
    <col min="12792" max="12792" width="21.5546875" style="114" customWidth="1"/>
    <col min="12793" max="12793" width="3.6640625" style="114" customWidth="1"/>
    <col min="12794" max="12794" width="13.44140625" style="114" bestFit="1" customWidth="1"/>
    <col min="12795" max="12795" width="3.6640625" style="114" customWidth="1"/>
    <col min="12796" max="12796" width="12.88671875" style="114" bestFit="1" customWidth="1"/>
    <col min="12797" max="12797" width="3.6640625" style="114" customWidth="1"/>
    <col min="12798" max="12798" width="14.33203125" style="114" bestFit="1" customWidth="1"/>
    <col min="12799" max="12799" width="3.6640625" style="114" customWidth="1"/>
    <col min="12800" max="12800" width="15" style="114" bestFit="1" customWidth="1"/>
    <col min="12801" max="12801" width="3" style="114" customWidth="1"/>
    <col min="12802" max="12802" width="15.33203125" style="114" bestFit="1" customWidth="1"/>
    <col min="12803" max="12804" width="9.109375" style="114"/>
    <col min="12805" max="12805" width="17.5546875" style="114" bestFit="1" customWidth="1"/>
    <col min="12806" max="13047" width="9.109375" style="114"/>
    <col min="13048" max="13048" width="21.5546875" style="114" customWidth="1"/>
    <col min="13049" max="13049" width="3.6640625" style="114" customWidth="1"/>
    <col min="13050" max="13050" width="13.44140625" style="114" bestFit="1" customWidth="1"/>
    <col min="13051" max="13051" width="3.6640625" style="114" customWidth="1"/>
    <col min="13052" max="13052" width="12.88671875" style="114" bestFit="1" customWidth="1"/>
    <col min="13053" max="13053" width="3.6640625" style="114" customWidth="1"/>
    <col min="13054" max="13054" width="14.33203125" style="114" bestFit="1" customWidth="1"/>
    <col min="13055" max="13055" width="3.6640625" style="114" customWidth="1"/>
    <col min="13056" max="13056" width="15" style="114" bestFit="1" customWidth="1"/>
    <col min="13057" max="13057" width="3" style="114" customWidth="1"/>
    <col min="13058" max="13058" width="15.33203125" style="114" bestFit="1" customWidth="1"/>
    <col min="13059" max="13060" width="9.109375" style="114"/>
    <col min="13061" max="13061" width="17.5546875" style="114" bestFit="1" customWidth="1"/>
    <col min="13062" max="13303" width="9.109375" style="114"/>
    <col min="13304" max="13304" width="21.5546875" style="114" customWidth="1"/>
    <col min="13305" max="13305" width="3.6640625" style="114" customWidth="1"/>
    <col min="13306" max="13306" width="13.44140625" style="114" bestFit="1" customWidth="1"/>
    <col min="13307" max="13307" width="3.6640625" style="114" customWidth="1"/>
    <col min="13308" max="13308" width="12.88671875" style="114" bestFit="1" customWidth="1"/>
    <col min="13309" max="13309" width="3.6640625" style="114" customWidth="1"/>
    <col min="13310" max="13310" width="14.33203125" style="114" bestFit="1" customWidth="1"/>
    <col min="13311" max="13311" width="3.6640625" style="114" customWidth="1"/>
    <col min="13312" max="13312" width="15" style="114" bestFit="1" customWidth="1"/>
    <col min="13313" max="13313" width="3" style="114" customWidth="1"/>
    <col min="13314" max="13314" width="15.33203125" style="114" bestFit="1" customWidth="1"/>
    <col min="13315" max="13316" width="9.109375" style="114"/>
    <col min="13317" max="13317" width="17.5546875" style="114" bestFit="1" customWidth="1"/>
    <col min="13318" max="13559" width="9.109375" style="114"/>
    <col min="13560" max="13560" width="21.5546875" style="114" customWidth="1"/>
    <col min="13561" max="13561" width="3.6640625" style="114" customWidth="1"/>
    <col min="13562" max="13562" width="13.44140625" style="114" bestFit="1" customWidth="1"/>
    <col min="13563" max="13563" width="3.6640625" style="114" customWidth="1"/>
    <col min="13564" max="13564" width="12.88671875" style="114" bestFit="1" customWidth="1"/>
    <col min="13565" max="13565" width="3.6640625" style="114" customWidth="1"/>
    <col min="13566" max="13566" width="14.33203125" style="114" bestFit="1" customWidth="1"/>
    <col min="13567" max="13567" width="3.6640625" style="114" customWidth="1"/>
    <col min="13568" max="13568" width="15" style="114" bestFit="1" customWidth="1"/>
    <col min="13569" max="13569" width="3" style="114" customWidth="1"/>
    <col min="13570" max="13570" width="15.33203125" style="114" bestFit="1" customWidth="1"/>
    <col min="13571" max="13572" width="9.109375" style="114"/>
    <col min="13573" max="13573" width="17.5546875" style="114" bestFit="1" customWidth="1"/>
    <col min="13574" max="13815" width="9.109375" style="114"/>
    <col min="13816" max="13816" width="21.5546875" style="114" customWidth="1"/>
    <col min="13817" max="13817" width="3.6640625" style="114" customWidth="1"/>
    <col min="13818" max="13818" width="13.44140625" style="114" bestFit="1" customWidth="1"/>
    <col min="13819" max="13819" width="3.6640625" style="114" customWidth="1"/>
    <col min="13820" max="13820" width="12.88671875" style="114" bestFit="1" customWidth="1"/>
    <col min="13821" max="13821" width="3.6640625" style="114" customWidth="1"/>
    <col min="13822" max="13822" width="14.33203125" style="114" bestFit="1" customWidth="1"/>
    <col min="13823" max="13823" width="3.6640625" style="114" customWidth="1"/>
    <col min="13824" max="13824" width="15" style="114" bestFit="1" customWidth="1"/>
    <col min="13825" max="13825" width="3" style="114" customWidth="1"/>
    <col min="13826" max="13826" width="15.33203125" style="114" bestFit="1" customWidth="1"/>
    <col min="13827" max="13828" width="9.109375" style="114"/>
    <col min="13829" max="13829" width="17.5546875" style="114" bestFit="1" customWidth="1"/>
    <col min="13830" max="14071" width="9.109375" style="114"/>
    <col min="14072" max="14072" width="21.5546875" style="114" customWidth="1"/>
    <col min="14073" max="14073" width="3.6640625" style="114" customWidth="1"/>
    <col min="14074" max="14074" width="13.44140625" style="114" bestFit="1" customWidth="1"/>
    <col min="14075" max="14075" width="3.6640625" style="114" customWidth="1"/>
    <col min="14076" max="14076" width="12.88671875" style="114" bestFit="1" customWidth="1"/>
    <col min="14077" max="14077" width="3.6640625" style="114" customWidth="1"/>
    <col min="14078" max="14078" width="14.33203125" style="114" bestFit="1" customWidth="1"/>
    <col min="14079" max="14079" width="3.6640625" style="114" customWidth="1"/>
    <col min="14080" max="14080" width="15" style="114" bestFit="1" customWidth="1"/>
    <col min="14081" max="14081" width="3" style="114" customWidth="1"/>
    <col min="14082" max="14082" width="15.33203125" style="114" bestFit="1" customWidth="1"/>
    <col min="14083" max="14084" width="9.109375" style="114"/>
    <col min="14085" max="14085" width="17.5546875" style="114" bestFit="1" customWidth="1"/>
    <col min="14086" max="14327" width="9.109375" style="114"/>
    <col min="14328" max="14328" width="21.5546875" style="114" customWidth="1"/>
    <col min="14329" max="14329" width="3.6640625" style="114" customWidth="1"/>
    <col min="14330" max="14330" width="13.44140625" style="114" bestFit="1" customWidth="1"/>
    <col min="14331" max="14331" width="3.6640625" style="114" customWidth="1"/>
    <col min="14332" max="14332" width="12.88671875" style="114" bestFit="1" customWidth="1"/>
    <col min="14333" max="14333" width="3.6640625" style="114" customWidth="1"/>
    <col min="14334" max="14334" width="14.33203125" style="114" bestFit="1" customWidth="1"/>
    <col min="14335" max="14335" width="3.6640625" style="114" customWidth="1"/>
    <col min="14336" max="14336" width="15" style="114" bestFit="1" customWidth="1"/>
    <col min="14337" max="14337" width="3" style="114" customWidth="1"/>
    <col min="14338" max="14338" width="15.33203125" style="114" bestFit="1" customWidth="1"/>
    <col min="14339" max="14340" width="9.109375" style="114"/>
    <col min="14341" max="14341" width="17.5546875" style="114" bestFit="1" customWidth="1"/>
    <col min="14342" max="14583" width="9.109375" style="114"/>
    <col min="14584" max="14584" width="21.5546875" style="114" customWidth="1"/>
    <col min="14585" max="14585" width="3.6640625" style="114" customWidth="1"/>
    <col min="14586" max="14586" width="13.44140625" style="114" bestFit="1" customWidth="1"/>
    <col min="14587" max="14587" width="3.6640625" style="114" customWidth="1"/>
    <col min="14588" max="14588" width="12.88671875" style="114" bestFit="1" customWidth="1"/>
    <col min="14589" max="14589" width="3.6640625" style="114" customWidth="1"/>
    <col min="14590" max="14590" width="14.33203125" style="114" bestFit="1" customWidth="1"/>
    <col min="14591" max="14591" width="3.6640625" style="114" customWidth="1"/>
    <col min="14592" max="14592" width="15" style="114" bestFit="1" customWidth="1"/>
    <col min="14593" max="14593" width="3" style="114" customWidth="1"/>
    <col min="14594" max="14594" width="15.33203125" style="114" bestFit="1" customWidth="1"/>
    <col min="14595" max="14596" width="9.109375" style="114"/>
    <col min="14597" max="14597" width="17.5546875" style="114" bestFit="1" customWidth="1"/>
    <col min="14598" max="14839" width="9.109375" style="114"/>
    <col min="14840" max="14840" width="21.5546875" style="114" customWidth="1"/>
    <col min="14841" max="14841" width="3.6640625" style="114" customWidth="1"/>
    <col min="14842" max="14842" width="13.44140625" style="114" bestFit="1" customWidth="1"/>
    <col min="14843" max="14843" width="3.6640625" style="114" customWidth="1"/>
    <col min="14844" max="14844" width="12.88671875" style="114" bestFit="1" customWidth="1"/>
    <col min="14845" max="14845" width="3.6640625" style="114" customWidth="1"/>
    <col min="14846" max="14846" width="14.33203125" style="114" bestFit="1" customWidth="1"/>
    <col min="14847" max="14847" width="3.6640625" style="114" customWidth="1"/>
    <col min="14848" max="14848" width="15" style="114" bestFit="1" customWidth="1"/>
    <col min="14849" max="14849" width="3" style="114" customWidth="1"/>
    <col min="14850" max="14850" width="15.33203125" style="114" bestFit="1" customWidth="1"/>
    <col min="14851" max="14852" width="9.109375" style="114"/>
    <col min="14853" max="14853" width="17.5546875" style="114" bestFit="1" customWidth="1"/>
    <col min="14854" max="15095" width="9.109375" style="114"/>
    <col min="15096" max="15096" width="21.5546875" style="114" customWidth="1"/>
    <col min="15097" max="15097" width="3.6640625" style="114" customWidth="1"/>
    <col min="15098" max="15098" width="13.44140625" style="114" bestFit="1" customWidth="1"/>
    <col min="15099" max="15099" width="3.6640625" style="114" customWidth="1"/>
    <col min="15100" max="15100" width="12.88671875" style="114" bestFit="1" customWidth="1"/>
    <col min="15101" max="15101" width="3.6640625" style="114" customWidth="1"/>
    <col min="15102" max="15102" width="14.33203125" style="114" bestFit="1" customWidth="1"/>
    <col min="15103" max="15103" width="3.6640625" style="114" customWidth="1"/>
    <col min="15104" max="15104" width="15" style="114" bestFit="1" customWidth="1"/>
    <col min="15105" max="15105" width="3" style="114" customWidth="1"/>
    <col min="15106" max="15106" width="15.33203125" style="114" bestFit="1" customWidth="1"/>
    <col min="15107" max="15108" width="9.109375" style="114"/>
    <col min="15109" max="15109" width="17.5546875" style="114" bestFit="1" customWidth="1"/>
    <col min="15110" max="15351" width="9.109375" style="114"/>
    <col min="15352" max="15352" width="21.5546875" style="114" customWidth="1"/>
    <col min="15353" max="15353" width="3.6640625" style="114" customWidth="1"/>
    <col min="15354" max="15354" width="13.44140625" style="114" bestFit="1" customWidth="1"/>
    <col min="15355" max="15355" width="3.6640625" style="114" customWidth="1"/>
    <col min="15356" max="15356" width="12.88671875" style="114" bestFit="1" customWidth="1"/>
    <col min="15357" max="15357" width="3.6640625" style="114" customWidth="1"/>
    <col min="15358" max="15358" width="14.33203125" style="114" bestFit="1" customWidth="1"/>
    <col min="15359" max="15359" width="3.6640625" style="114" customWidth="1"/>
    <col min="15360" max="15360" width="15" style="114" bestFit="1" customWidth="1"/>
    <col min="15361" max="15361" width="3" style="114" customWidth="1"/>
    <col min="15362" max="15362" width="15.33203125" style="114" bestFit="1" customWidth="1"/>
    <col min="15363" max="15364" width="9.109375" style="114"/>
    <col min="15365" max="15365" width="17.5546875" style="114" bestFit="1" customWidth="1"/>
    <col min="15366" max="15607" width="9.109375" style="114"/>
    <col min="15608" max="15608" width="21.5546875" style="114" customWidth="1"/>
    <col min="15609" max="15609" width="3.6640625" style="114" customWidth="1"/>
    <col min="15610" max="15610" width="13.44140625" style="114" bestFit="1" customWidth="1"/>
    <col min="15611" max="15611" width="3.6640625" style="114" customWidth="1"/>
    <col min="15612" max="15612" width="12.88671875" style="114" bestFit="1" customWidth="1"/>
    <col min="15613" max="15613" width="3.6640625" style="114" customWidth="1"/>
    <col min="15614" max="15614" width="14.33203125" style="114" bestFit="1" customWidth="1"/>
    <col min="15615" max="15615" width="3.6640625" style="114" customWidth="1"/>
    <col min="15616" max="15616" width="15" style="114" bestFit="1" customWidth="1"/>
    <col min="15617" max="15617" width="3" style="114" customWidth="1"/>
    <col min="15618" max="15618" width="15.33203125" style="114" bestFit="1" customWidth="1"/>
    <col min="15619" max="15620" width="9.109375" style="114"/>
    <col min="15621" max="15621" width="17.5546875" style="114" bestFit="1" customWidth="1"/>
    <col min="15622" max="15863" width="9.109375" style="114"/>
    <col min="15864" max="15864" width="21.5546875" style="114" customWidth="1"/>
    <col min="15865" max="15865" width="3.6640625" style="114" customWidth="1"/>
    <col min="15866" max="15866" width="13.44140625" style="114" bestFit="1" customWidth="1"/>
    <col min="15867" max="15867" width="3.6640625" style="114" customWidth="1"/>
    <col min="15868" max="15868" width="12.88671875" style="114" bestFit="1" customWidth="1"/>
    <col min="15869" max="15869" width="3.6640625" style="114" customWidth="1"/>
    <col min="15870" max="15870" width="14.33203125" style="114" bestFit="1" customWidth="1"/>
    <col min="15871" max="15871" width="3.6640625" style="114" customWidth="1"/>
    <col min="15872" max="15872" width="15" style="114" bestFit="1" customWidth="1"/>
    <col min="15873" max="15873" width="3" style="114" customWidth="1"/>
    <col min="15874" max="15874" width="15.33203125" style="114" bestFit="1" customWidth="1"/>
    <col min="15875" max="15876" width="9.109375" style="114"/>
    <col min="15877" max="15877" width="17.5546875" style="114" bestFit="1" customWidth="1"/>
    <col min="15878" max="16119" width="9.109375" style="114"/>
    <col min="16120" max="16120" width="21.5546875" style="114" customWidth="1"/>
    <col min="16121" max="16121" width="3.6640625" style="114" customWidth="1"/>
    <col min="16122" max="16122" width="13.44140625" style="114" bestFit="1" customWidth="1"/>
    <col min="16123" max="16123" width="3.6640625" style="114" customWidth="1"/>
    <col min="16124" max="16124" width="12.88671875" style="114" bestFit="1" customWidth="1"/>
    <col min="16125" max="16125" width="3.6640625" style="114" customWidth="1"/>
    <col min="16126" max="16126" width="14.33203125" style="114" bestFit="1" customWidth="1"/>
    <col min="16127" max="16127" width="3.6640625" style="114" customWidth="1"/>
    <col min="16128" max="16128" width="15" style="114" bestFit="1" customWidth="1"/>
    <col min="16129" max="16129" width="3" style="114" customWidth="1"/>
    <col min="16130" max="16130" width="15.33203125" style="114" bestFit="1" customWidth="1"/>
    <col min="16131" max="16132" width="9.109375" style="114"/>
    <col min="16133" max="16133" width="17.5546875" style="114" bestFit="1" customWidth="1"/>
    <col min="16134" max="16373" width="9.109375" style="114"/>
    <col min="16374" max="16384" width="9.109375" style="114" customWidth="1"/>
  </cols>
  <sheetData>
    <row r="1" spans="1:8" s="113" customFormat="1" ht="13.2">
      <c r="A1" s="119"/>
      <c r="B1" s="119"/>
      <c r="C1" s="119"/>
      <c r="D1" s="119"/>
      <c r="E1" s="119"/>
      <c r="F1" s="168"/>
      <c r="G1" s="119"/>
      <c r="H1" s="169"/>
    </row>
    <row r="2" spans="1:8" s="120" customFormat="1" ht="7.95" customHeight="1">
      <c r="D2" s="121"/>
      <c r="E2" s="121"/>
      <c r="F2" s="170"/>
      <c r="G2" s="121"/>
      <c r="H2" s="121"/>
    </row>
    <row r="3" spans="1:8">
      <c r="A3" s="447" t="s">
        <v>0</v>
      </c>
      <c r="B3" s="447"/>
      <c r="C3" s="447"/>
      <c r="D3" s="447"/>
      <c r="E3" s="447"/>
      <c r="F3" s="447"/>
      <c r="G3" s="447"/>
      <c r="H3" s="447"/>
    </row>
    <row r="4" spans="1:8">
      <c r="A4" s="447" t="s">
        <v>274</v>
      </c>
      <c r="B4" s="447"/>
      <c r="C4" s="447"/>
      <c r="D4" s="447"/>
      <c r="E4" s="447"/>
      <c r="F4" s="447"/>
      <c r="G4" s="447"/>
      <c r="H4" s="447"/>
    </row>
    <row r="5" spans="1:8">
      <c r="A5" s="448" t="s">
        <v>178</v>
      </c>
      <c r="B5" s="448"/>
      <c r="C5" s="448"/>
      <c r="D5" s="448"/>
      <c r="E5" s="448"/>
      <c r="F5" s="448"/>
      <c r="G5" s="448"/>
      <c r="H5" s="448"/>
    </row>
    <row r="6" spans="1:8">
      <c r="A6" s="449" t="s">
        <v>579</v>
      </c>
      <c r="B6" s="449"/>
      <c r="C6" s="449"/>
      <c r="D6" s="449"/>
      <c r="E6" s="449"/>
      <c r="F6" s="449"/>
      <c r="G6" s="449"/>
      <c r="H6" s="449"/>
    </row>
    <row r="7" spans="1:8" ht="3.9" customHeight="1">
      <c r="A7" s="115"/>
      <c r="B7" s="115"/>
      <c r="C7" s="115"/>
    </row>
    <row r="8" spans="1:8" ht="5.4" customHeight="1">
      <c r="A8" s="116"/>
      <c r="B8" s="116"/>
      <c r="C8" s="116"/>
    </row>
    <row r="9" spans="1:8">
      <c r="A9" s="448" t="s">
        <v>602</v>
      </c>
      <c r="B9" s="448"/>
      <c r="C9" s="448"/>
      <c r="D9" s="448"/>
      <c r="E9" s="448"/>
      <c r="F9" s="448"/>
      <c r="G9" s="448"/>
      <c r="H9" s="448"/>
    </row>
    <row r="10" spans="1:8" ht="7.95" customHeight="1"/>
    <row r="11" spans="1:8">
      <c r="A11" s="445"/>
      <c r="B11" s="445"/>
      <c r="C11" s="445"/>
      <c r="D11" s="445"/>
      <c r="E11" s="445"/>
      <c r="F11" s="445"/>
      <c r="G11" s="445"/>
      <c r="H11" s="445"/>
    </row>
    <row r="12" spans="1:8">
      <c r="D12" s="171"/>
      <c r="E12" s="171"/>
      <c r="F12" s="172"/>
      <c r="G12" s="171"/>
    </row>
    <row r="13" spans="1:8" ht="14.4" thickBot="1">
      <c r="A13" s="117"/>
      <c r="B13" s="446" t="s">
        <v>580</v>
      </c>
      <c r="C13" s="446"/>
      <c r="D13" s="446"/>
      <c r="E13" s="173"/>
      <c r="F13" s="174" t="s">
        <v>580</v>
      </c>
      <c r="G13" s="175"/>
      <c r="H13" s="173"/>
    </row>
    <row r="14" spans="1:8">
      <c r="A14" s="117"/>
      <c r="B14" s="117" t="s">
        <v>179</v>
      </c>
      <c r="C14" s="117" t="s">
        <v>179</v>
      </c>
      <c r="D14" s="173" t="s">
        <v>46</v>
      </c>
      <c r="E14" s="175"/>
      <c r="F14" s="176" t="s">
        <v>179</v>
      </c>
      <c r="G14" s="173"/>
      <c r="H14" s="173"/>
    </row>
    <row r="15" spans="1:8">
      <c r="A15" s="117"/>
      <c r="B15" s="117" t="s">
        <v>180</v>
      </c>
      <c r="C15" s="117" t="s">
        <v>181</v>
      </c>
      <c r="D15" s="173" t="s">
        <v>179</v>
      </c>
      <c r="E15" s="173"/>
      <c r="F15" s="176" t="s">
        <v>182</v>
      </c>
      <c r="G15" s="173"/>
      <c r="H15" s="173"/>
    </row>
    <row r="16" spans="1:8">
      <c r="A16" s="117" t="s">
        <v>62</v>
      </c>
      <c r="B16" s="173" t="s">
        <v>183</v>
      </c>
      <c r="C16" s="173" t="s">
        <v>183</v>
      </c>
      <c r="D16" s="173" t="s">
        <v>183</v>
      </c>
      <c r="E16" s="173"/>
      <c r="F16" s="176" t="s">
        <v>184</v>
      </c>
      <c r="G16" s="173"/>
      <c r="H16" s="173" t="s">
        <v>185</v>
      </c>
    </row>
    <row r="17" spans="1:8" ht="14.4">
      <c r="A17" t="s">
        <v>625</v>
      </c>
      <c r="B17" s="177"/>
      <c r="C17" s="177"/>
      <c r="D17" s="165">
        <f>+B17+C17</f>
        <v>0</v>
      </c>
      <c r="E17" s="178"/>
      <c r="F17" s="179"/>
      <c r="G17" s="178"/>
      <c r="H17" s="165">
        <f>-D17-F17</f>
        <v>0</v>
      </c>
    </row>
    <row r="18" spans="1:8" ht="14.4">
      <c r="A18" t="s">
        <v>626</v>
      </c>
      <c r="B18" s="177"/>
      <c r="C18" s="177"/>
      <c r="D18" s="165">
        <f t="shared" ref="D18:D49" si="0">+B18+C18</f>
        <v>0</v>
      </c>
      <c r="E18" s="178"/>
      <c r="F18" s="179"/>
      <c r="G18" s="178"/>
      <c r="H18" s="165">
        <f t="shared" ref="H18:H49" si="1">-D18-F18</f>
        <v>0</v>
      </c>
    </row>
    <row r="19" spans="1:8" ht="14.4">
      <c r="A19" t="s">
        <v>627</v>
      </c>
      <c r="B19" s="177"/>
      <c r="C19" s="177"/>
      <c r="D19" s="165">
        <f t="shared" si="0"/>
        <v>0</v>
      </c>
      <c r="E19" s="178"/>
      <c r="F19" s="179"/>
      <c r="G19" s="178"/>
      <c r="H19" s="165">
        <f t="shared" si="1"/>
        <v>0</v>
      </c>
    </row>
    <row r="20" spans="1:8" ht="14.4">
      <c r="A20" t="s">
        <v>628</v>
      </c>
      <c r="B20" s="177"/>
      <c r="C20" s="177"/>
      <c r="D20" s="165">
        <f t="shared" si="0"/>
        <v>0</v>
      </c>
      <c r="E20" s="178"/>
      <c r="F20" s="179"/>
      <c r="G20" s="178"/>
      <c r="H20" s="165">
        <f t="shared" si="1"/>
        <v>0</v>
      </c>
    </row>
    <row r="21" spans="1:8" ht="14.4">
      <c r="A21" t="s">
        <v>186</v>
      </c>
      <c r="B21" s="177">
        <v>219533.58</v>
      </c>
      <c r="C21" s="177"/>
      <c r="D21" s="165">
        <f t="shared" si="0"/>
        <v>219533.58</v>
      </c>
      <c r="E21" s="178"/>
      <c r="F21" s="180">
        <v>-5103.05</v>
      </c>
      <c r="G21" s="178"/>
      <c r="H21" s="165">
        <f t="shared" si="1"/>
        <v>-214430.53</v>
      </c>
    </row>
    <row r="22" spans="1:8" ht="14.4">
      <c r="A22" t="s">
        <v>629</v>
      </c>
      <c r="B22" s="177">
        <v>113051.4099999999</v>
      </c>
      <c r="C22" s="177"/>
      <c r="D22" s="165">
        <f t="shared" si="0"/>
        <v>113051.4099999999</v>
      </c>
      <c r="E22" s="178"/>
      <c r="F22" s="180">
        <v>-2659.5499999999997</v>
      </c>
      <c r="G22" s="178"/>
      <c r="H22" s="165">
        <f t="shared" si="1"/>
        <v>-110391.8599999999</v>
      </c>
    </row>
    <row r="23" spans="1:8" ht="14.4">
      <c r="A23" t="s">
        <v>630</v>
      </c>
      <c r="B23" s="177">
        <v>118600.97999999997</v>
      </c>
      <c r="C23" s="177">
        <v>619848.66</v>
      </c>
      <c r="D23" s="165">
        <f t="shared" si="0"/>
        <v>738449.64</v>
      </c>
      <c r="E23" s="178"/>
      <c r="F23" s="180"/>
      <c r="G23" s="178"/>
      <c r="H23" s="165">
        <f t="shared" si="1"/>
        <v>-738449.64</v>
      </c>
    </row>
    <row r="24" spans="1:8" ht="14.4">
      <c r="A24" t="s">
        <v>157</v>
      </c>
      <c r="B24" s="177">
        <v>231.26</v>
      </c>
      <c r="C24" s="177"/>
      <c r="D24" s="165">
        <f t="shared" si="0"/>
        <v>231.26</v>
      </c>
      <c r="E24" s="178"/>
      <c r="F24" s="180"/>
      <c r="G24" s="178"/>
      <c r="H24" s="165">
        <f t="shared" si="1"/>
        <v>-231.26</v>
      </c>
    </row>
    <row r="25" spans="1:8" ht="14.4">
      <c r="A25" t="s">
        <v>606</v>
      </c>
      <c r="B25" s="177">
        <v>150</v>
      </c>
      <c r="C25" s="177"/>
      <c r="D25" s="165">
        <f t="shared" si="0"/>
        <v>150</v>
      </c>
      <c r="E25" s="178"/>
      <c r="F25" s="180"/>
      <c r="G25" s="178"/>
      <c r="H25" s="165">
        <f t="shared" si="1"/>
        <v>-150</v>
      </c>
    </row>
    <row r="26" spans="1:8" ht="14.4">
      <c r="A26" t="s">
        <v>631</v>
      </c>
      <c r="B26" s="177"/>
      <c r="C26" s="177"/>
      <c r="D26" s="165">
        <f t="shared" si="0"/>
        <v>0</v>
      </c>
      <c r="E26" s="178"/>
      <c r="F26" s="180"/>
      <c r="G26" s="178"/>
      <c r="H26" s="165">
        <f t="shared" si="1"/>
        <v>0</v>
      </c>
    </row>
    <row r="27" spans="1:8" ht="14.4">
      <c r="A27" t="s">
        <v>632</v>
      </c>
      <c r="B27" s="177">
        <v>7443.71</v>
      </c>
      <c r="C27" s="177">
        <v>26588.18</v>
      </c>
      <c r="D27" s="165">
        <f t="shared" si="0"/>
        <v>34031.89</v>
      </c>
      <c r="E27" s="178"/>
      <c r="F27" s="180"/>
      <c r="G27" s="178"/>
      <c r="H27" s="165">
        <f t="shared" si="1"/>
        <v>-34031.89</v>
      </c>
    </row>
    <row r="28" spans="1:8" ht="14.4">
      <c r="A28" t="s">
        <v>633</v>
      </c>
      <c r="B28" s="177">
        <v>459.58999999999992</v>
      </c>
      <c r="C28" s="177">
        <v>3146.2599999999998</v>
      </c>
      <c r="D28" s="165">
        <f t="shared" si="0"/>
        <v>3605.8499999999995</v>
      </c>
      <c r="E28" s="178"/>
      <c r="F28" s="180"/>
      <c r="G28" s="178"/>
      <c r="H28" s="165">
        <f t="shared" si="1"/>
        <v>-3605.8499999999995</v>
      </c>
    </row>
    <row r="29" spans="1:8" ht="14.4">
      <c r="A29" t="s">
        <v>634</v>
      </c>
      <c r="B29" s="177">
        <v>337791.94000000029</v>
      </c>
      <c r="C29" s="177">
        <v>191178.7699999999</v>
      </c>
      <c r="D29" s="165">
        <f t="shared" si="0"/>
        <v>528970.7100000002</v>
      </c>
      <c r="E29" s="178"/>
      <c r="F29" s="180">
        <v>-127766.55</v>
      </c>
      <c r="G29" s="178"/>
      <c r="H29" s="165">
        <f t="shared" si="1"/>
        <v>-401204.16000000021</v>
      </c>
    </row>
    <row r="30" spans="1:8" ht="14.4">
      <c r="A30" t="s">
        <v>635</v>
      </c>
      <c r="B30" s="177">
        <v>88.600000000000009</v>
      </c>
      <c r="C30" s="177">
        <v>1646.2200000000003</v>
      </c>
      <c r="D30" s="165">
        <f t="shared" si="0"/>
        <v>1734.8200000000002</v>
      </c>
      <c r="E30" s="178"/>
      <c r="F30" s="180">
        <v>-323.88</v>
      </c>
      <c r="G30" s="178"/>
      <c r="H30" s="165">
        <f t="shared" si="1"/>
        <v>-1410.94</v>
      </c>
    </row>
    <row r="31" spans="1:8" ht="14.4">
      <c r="A31" t="s">
        <v>636</v>
      </c>
      <c r="B31" s="177">
        <v>-5.75</v>
      </c>
      <c r="C31" s="177">
        <v>-30.089999999999993</v>
      </c>
      <c r="D31" s="165">
        <f t="shared" si="0"/>
        <v>-35.839999999999989</v>
      </c>
      <c r="E31" s="178"/>
      <c r="F31" s="180">
        <v>7.330000000000001</v>
      </c>
      <c r="G31" s="178"/>
      <c r="H31" s="243">
        <f t="shared" si="1"/>
        <v>28.509999999999987</v>
      </c>
    </row>
    <row r="32" spans="1:8" ht="14.4">
      <c r="A32" t="s">
        <v>637</v>
      </c>
      <c r="B32" s="177">
        <v>201.54000000000002</v>
      </c>
      <c r="C32" s="177"/>
      <c r="D32" s="165">
        <f t="shared" si="0"/>
        <v>201.54000000000002</v>
      </c>
      <c r="E32" s="178"/>
      <c r="F32" s="180">
        <v>-233.63</v>
      </c>
      <c r="G32" s="178"/>
      <c r="H32" s="165">
        <f t="shared" si="1"/>
        <v>32.089999999999975</v>
      </c>
    </row>
    <row r="33" spans="1:8" ht="14.4">
      <c r="A33" t="s">
        <v>638</v>
      </c>
      <c r="B33" s="177">
        <v>95905.19</v>
      </c>
      <c r="C33" s="177">
        <v>-1611.6200000000001</v>
      </c>
      <c r="D33" s="165">
        <f t="shared" si="0"/>
        <v>94293.57</v>
      </c>
      <c r="E33" s="178"/>
      <c r="F33" s="180">
        <v>-20492.09</v>
      </c>
      <c r="G33" s="178"/>
      <c r="H33" s="165">
        <f t="shared" si="1"/>
        <v>-73801.48000000001</v>
      </c>
    </row>
    <row r="34" spans="1:8" ht="14.4">
      <c r="A34" s="158">
        <v>568000</v>
      </c>
      <c r="B34" s="177"/>
      <c r="C34" s="177"/>
      <c r="D34" s="165">
        <f t="shared" si="0"/>
        <v>0</v>
      </c>
      <c r="E34" s="178"/>
      <c r="F34" s="180"/>
      <c r="G34" s="178"/>
      <c r="H34" s="165">
        <f t="shared" si="1"/>
        <v>0</v>
      </c>
    </row>
    <row r="35" spans="1:8" ht="14.4">
      <c r="A35" t="s">
        <v>639</v>
      </c>
      <c r="B35" s="177">
        <v>-44.18</v>
      </c>
      <c r="C35" s="177">
        <v>-402.47999999999996</v>
      </c>
      <c r="D35" s="165">
        <f t="shared" si="0"/>
        <v>-446.65999999999997</v>
      </c>
      <c r="E35" s="178"/>
      <c r="F35" s="180">
        <v>91.460000000000008</v>
      </c>
      <c r="G35" s="178"/>
      <c r="H35" s="165">
        <f t="shared" si="1"/>
        <v>355.19999999999993</v>
      </c>
    </row>
    <row r="36" spans="1:8" ht="14.4">
      <c r="A36" t="s">
        <v>605</v>
      </c>
      <c r="B36" s="177">
        <v>-2.1000000000000014</v>
      </c>
      <c r="C36" s="177">
        <v>1.2434497875801753E-14</v>
      </c>
      <c r="D36" s="165">
        <f t="shared" si="0"/>
        <v>-2.099999999999989</v>
      </c>
      <c r="E36" s="178"/>
      <c r="F36" s="180"/>
      <c r="G36" s="178"/>
      <c r="H36" s="165">
        <f t="shared" si="1"/>
        <v>2.099999999999989</v>
      </c>
    </row>
    <row r="37" spans="1:8" ht="14.4">
      <c r="A37" t="s">
        <v>603</v>
      </c>
      <c r="B37" s="177">
        <v>4.76</v>
      </c>
      <c r="C37" s="177">
        <v>31.4</v>
      </c>
      <c r="D37" s="165">
        <f t="shared" si="0"/>
        <v>36.159999999999997</v>
      </c>
      <c r="E37" s="178"/>
      <c r="F37" s="180"/>
      <c r="G37" s="178"/>
      <c r="H37" s="165">
        <f t="shared" si="1"/>
        <v>-36.159999999999997</v>
      </c>
    </row>
    <row r="38" spans="1:8" ht="14.4">
      <c r="A38" t="s">
        <v>640</v>
      </c>
      <c r="B38" s="177"/>
      <c r="C38" s="177">
        <v>159.07999999999998</v>
      </c>
      <c r="D38" s="165">
        <f t="shared" si="0"/>
        <v>159.07999999999998</v>
      </c>
      <c r="E38" s="178"/>
      <c r="F38" s="180"/>
      <c r="G38" s="178"/>
      <c r="H38" s="165">
        <f t="shared" si="1"/>
        <v>-159.07999999999998</v>
      </c>
    </row>
    <row r="39" spans="1:8" ht="14.4">
      <c r="A39" t="s">
        <v>641</v>
      </c>
      <c r="B39" s="177">
        <v>149428.35999999996</v>
      </c>
      <c r="C39" s="177">
        <v>901837.33000000007</v>
      </c>
      <c r="D39" s="165">
        <f t="shared" si="0"/>
        <v>1051265.69</v>
      </c>
      <c r="E39" s="178"/>
      <c r="F39" s="180">
        <v>-25056.89</v>
      </c>
      <c r="G39" s="178"/>
      <c r="H39" s="165">
        <f t="shared" si="1"/>
        <v>-1026208.7999999999</v>
      </c>
    </row>
    <row r="40" spans="1:8" ht="14.4">
      <c r="A40" t="s">
        <v>642</v>
      </c>
      <c r="B40" s="177">
        <v>89609.160000000047</v>
      </c>
      <c r="C40" s="177"/>
      <c r="D40" s="165">
        <f t="shared" si="0"/>
        <v>89609.160000000047</v>
      </c>
      <c r="E40" s="178"/>
      <c r="F40" s="180">
        <v>-2317.71</v>
      </c>
      <c r="G40" s="178"/>
      <c r="H40" s="165">
        <f t="shared" si="1"/>
        <v>-87291.450000000041</v>
      </c>
    </row>
    <row r="41" spans="1:8" ht="14.4">
      <c r="A41" t="s">
        <v>158</v>
      </c>
      <c r="B41" s="177">
        <v>3779878.4500000016</v>
      </c>
      <c r="C41" s="177"/>
      <c r="D41" s="165">
        <f t="shared" si="0"/>
        <v>3779878.4500000016</v>
      </c>
      <c r="E41" s="178"/>
      <c r="F41" s="180">
        <v>-68718.69</v>
      </c>
      <c r="G41" s="178"/>
      <c r="H41" s="165">
        <f t="shared" si="1"/>
        <v>-3711159.7600000016</v>
      </c>
    </row>
    <row r="42" spans="1:8" ht="14.4">
      <c r="A42" s="158">
        <v>924000</v>
      </c>
      <c r="B42" s="177"/>
      <c r="C42" s="177"/>
      <c r="D42" s="165">
        <f t="shared" si="0"/>
        <v>0</v>
      </c>
      <c r="E42" s="178"/>
      <c r="F42" s="180"/>
      <c r="G42" s="178"/>
      <c r="H42" s="165">
        <f t="shared" si="1"/>
        <v>0</v>
      </c>
    </row>
    <row r="43" spans="1:8" ht="14.4">
      <c r="A43" t="s">
        <v>604</v>
      </c>
      <c r="B43" s="177">
        <v>72.540000000000006</v>
      </c>
      <c r="C43" s="177"/>
      <c r="D43" s="165">
        <f t="shared" si="0"/>
        <v>72.540000000000006</v>
      </c>
      <c r="E43" s="178"/>
      <c r="F43" s="180">
        <v>-1.5</v>
      </c>
      <c r="G43" s="178"/>
      <c r="H43" s="165">
        <f t="shared" si="1"/>
        <v>-71.040000000000006</v>
      </c>
    </row>
    <row r="44" spans="1:8" ht="14.4">
      <c r="A44" t="s">
        <v>643</v>
      </c>
      <c r="B44" s="177">
        <v>966201.99999999965</v>
      </c>
      <c r="C44" s="177"/>
      <c r="D44" s="165">
        <f t="shared" si="0"/>
        <v>966201.99999999965</v>
      </c>
      <c r="E44" s="178"/>
      <c r="F44" s="180">
        <v>-22947.22</v>
      </c>
      <c r="G44" s="178"/>
      <c r="H44" s="165">
        <f t="shared" si="1"/>
        <v>-943254.77999999968</v>
      </c>
    </row>
    <row r="45" spans="1:8" ht="14.4">
      <c r="A45" t="s">
        <v>644</v>
      </c>
      <c r="B45" s="177">
        <v>179393.12000000002</v>
      </c>
      <c r="C45" s="177">
        <v>46250.16</v>
      </c>
      <c r="D45" s="165">
        <f t="shared" si="0"/>
        <v>225643.28000000003</v>
      </c>
      <c r="E45" s="178"/>
      <c r="F45" s="180">
        <v>-5397.3099999999995</v>
      </c>
      <c r="G45" s="178"/>
      <c r="H45" s="243">
        <f t="shared" si="1"/>
        <v>-220245.97000000003</v>
      </c>
    </row>
    <row r="46" spans="1:8" s="193" customFormat="1" ht="14.4">
      <c r="A46" s="191" t="s">
        <v>645</v>
      </c>
      <c r="B46" s="192"/>
      <c r="C46" s="192"/>
      <c r="D46" s="180">
        <f t="shared" si="0"/>
        <v>0</v>
      </c>
      <c r="E46" s="179"/>
      <c r="F46" s="180">
        <v>2.2000000000000002</v>
      </c>
      <c r="G46" s="179"/>
      <c r="H46" s="180">
        <f t="shared" si="1"/>
        <v>-2.2000000000000002</v>
      </c>
    </row>
    <row r="47" spans="1:8" s="193" customFormat="1" ht="14.4">
      <c r="A47" s="191" t="s">
        <v>646</v>
      </c>
      <c r="B47" s="192">
        <v>47373.73</v>
      </c>
      <c r="C47" s="192"/>
      <c r="D47" s="180">
        <f t="shared" si="0"/>
        <v>47373.73</v>
      </c>
      <c r="E47" s="179"/>
      <c r="F47" s="180">
        <v>-1217.75</v>
      </c>
      <c r="G47" s="179"/>
      <c r="H47" s="180">
        <f t="shared" si="1"/>
        <v>-46155.98</v>
      </c>
    </row>
    <row r="48" spans="1:8" s="193" customFormat="1" ht="14.4">
      <c r="A48" s="191" t="s">
        <v>647</v>
      </c>
      <c r="B48" s="192">
        <v>2884.12</v>
      </c>
      <c r="C48" s="192"/>
      <c r="D48" s="180">
        <f t="shared" si="0"/>
        <v>2884.12</v>
      </c>
      <c r="E48" s="179"/>
      <c r="F48" s="180">
        <v>-81.03</v>
      </c>
      <c r="G48" s="179"/>
      <c r="H48" s="180">
        <f t="shared" si="1"/>
        <v>-2803.0899999999997</v>
      </c>
    </row>
    <row r="49" spans="1:8" s="193" customFormat="1" ht="14.4">
      <c r="A49" s="194">
        <v>935000</v>
      </c>
      <c r="B49" s="179"/>
      <c r="C49" s="179"/>
      <c r="D49" s="180">
        <f t="shared" si="0"/>
        <v>0</v>
      </c>
      <c r="E49" s="179"/>
      <c r="F49" s="180">
        <v>22.400000000000002</v>
      </c>
      <c r="G49" s="179"/>
      <c r="H49" s="180">
        <f t="shared" si="1"/>
        <v>-22.400000000000002</v>
      </c>
    </row>
    <row r="50" spans="1:8" ht="14.4" thickBot="1">
      <c r="A50" s="120" t="s">
        <v>187</v>
      </c>
      <c r="B50" s="181">
        <f>SUM(B17:B49)</f>
        <v>6108252.0100000026</v>
      </c>
      <c r="C50" s="181">
        <f>SUM(C17:C49)</f>
        <v>1788641.8699999999</v>
      </c>
      <c r="D50" s="181">
        <f>SUM(D17:D49)</f>
        <v>7896893.8800000027</v>
      </c>
      <c r="E50" s="181"/>
      <c r="F50" s="182">
        <f>SUM(F17:F49)</f>
        <v>-282193.46000000002</v>
      </c>
      <c r="G50" s="181"/>
      <c r="H50" s="181">
        <f>SUM(H17:H49)</f>
        <v>-7614700.4200000009</v>
      </c>
    </row>
    <row r="51" spans="1:8" ht="14.4" thickTop="1">
      <c r="D51" s="183"/>
      <c r="E51" s="183"/>
      <c r="F51" s="184"/>
      <c r="G51" s="183"/>
      <c r="H51" s="183"/>
    </row>
    <row r="52" spans="1:8">
      <c r="A52" s="118" t="s">
        <v>188</v>
      </c>
      <c r="D52" s="183"/>
      <c r="E52" s="183"/>
      <c r="F52" s="184"/>
      <c r="G52" s="183"/>
      <c r="H52" s="183"/>
    </row>
    <row r="53" spans="1:8">
      <c r="A53" s="185" t="s">
        <v>648</v>
      </c>
      <c r="B53" s="186">
        <f>+SUM(B17:B20)</f>
        <v>0</v>
      </c>
      <c r="C53" s="186">
        <f>+SUM(C17:C20)</f>
        <v>0</v>
      </c>
      <c r="D53" s="186">
        <f>+SUM(D17:D20)</f>
        <v>0</v>
      </c>
      <c r="E53" s="183"/>
      <c r="F53" s="186">
        <f>+SUM(F17:F20)</f>
        <v>0</v>
      </c>
      <c r="G53" s="183"/>
      <c r="H53" s="186">
        <f>+SUM(H17:H20)</f>
        <v>0</v>
      </c>
    </row>
    <row r="54" spans="1:8">
      <c r="A54" s="185" t="s">
        <v>195</v>
      </c>
      <c r="B54" s="187">
        <f t="shared" ref="B54:D55" si="2">+B21</f>
        <v>219533.58</v>
      </c>
      <c r="C54" s="187">
        <f t="shared" si="2"/>
        <v>0</v>
      </c>
      <c r="D54" s="187">
        <f t="shared" si="2"/>
        <v>219533.58</v>
      </c>
      <c r="E54" s="188"/>
      <c r="F54" s="187">
        <f>+F21</f>
        <v>-5103.05</v>
      </c>
      <c r="G54" s="188"/>
      <c r="H54" s="187">
        <f>+H21</f>
        <v>-214430.53</v>
      </c>
    </row>
    <row r="55" spans="1:8">
      <c r="A55" s="185" t="s">
        <v>189</v>
      </c>
      <c r="B55" s="187">
        <f t="shared" si="2"/>
        <v>113051.4099999999</v>
      </c>
      <c r="C55" s="187">
        <f t="shared" si="2"/>
        <v>0</v>
      </c>
      <c r="D55" s="187">
        <f t="shared" si="2"/>
        <v>113051.4099999999</v>
      </c>
      <c r="E55" s="188"/>
      <c r="F55" s="187">
        <f>+F22</f>
        <v>-2659.5499999999997</v>
      </c>
      <c r="G55" s="188"/>
      <c r="H55" s="187">
        <f>+H22</f>
        <v>-110391.8599999999</v>
      </c>
    </row>
    <row r="56" spans="1:8">
      <c r="A56" s="185" t="s">
        <v>190</v>
      </c>
      <c r="B56" s="186">
        <f>+SUM(B23:B28)</f>
        <v>126885.53999999996</v>
      </c>
      <c r="C56" s="242">
        <f>+SUM(C23:C28)</f>
        <v>649583.10000000009</v>
      </c>
      <c r="D56" s="186">
        <f>+SUM(D23:D28)</f>
        <v>776468.64</v>
      </c>
      <c r="E56" s="183"/>
      <c r="F56" s="186">
        <f>+SUM(F23:F28)</f>
        <v>0</v>
      </c>
      <c r="G56" s="183"/>
      <c r="H56" s="186">
        <f>+SUM(H23:H28)</f>
        <v>-776468.64</v>
      </c>
    </row>
    <row r="57" spans="1:8">
      <c r="A57" s="185" t="s">
        <v>191</v>
      </c>
      <c r="B57" s="186">
        <f>+SUM(B29:B35)</f>
        <v>433937.34000000026</v>
      </c>
      <c r="C57" s="242">
        <f>+SUM(C29:C35)</f>
        <v>190780.7999999999</v>
      </c>
      <c r="D57" s="186">
        <f>+SUM(D29:D35)</f>
        <v>624718.14000000025</v>
      </c>
      <c r="E57" s="183"/>
      <c r="F57" s="186">
        <f>+SUM(F29:F35)</f>
        <v>-148717.36000000002</v>
      </c>
      <c r="G57" s="183"/>
      <c r="H57" s="242">
        <f>+SUM(H29:H35)</f>
        <v>-476000.7800000002</v>
      </c>
    </row>
    <row r="58" spans="1:8">
      <c r="A58" s="185" t="s">
        <v>192</v>
      </c>
      <c r="B58" s="186">
        <f>SUM(B36:B37)</f>
        <v>2.6599999999999984</v>
      </c>
      <c r="C58" s="242">
        <f>SUM(C36:C37)</f>
        <v>31.400000000000013</v>
      </c>
      <c r="D58" s="186">
        <f>SUM(D36:D37)</f>
        <v>34.060000000000009</v>
      </c>
      <c r="E58" s="183"/>
      <c r="F58" s="186">
        <f>SUM(F36:F37)</f>
        <v>0</v>
      </c>
      <c r="G58" s="183"/>
      <c r="H58" s="186">
        <f>SUM(H36:H37)</f>
        <v>-34.060000000000009</v>
      </c>
    </row>
    <row r="59" spans="1:8">
      <c r="A59" s="185" t="s">
        <v>193</v>
      </c>
      <c r="B59" s="186">
        <f>B38</f>
        <v>0</v>
      </c>
      <c r="C59" s="242">
        <f>C38</f>
        <v>159.07999999999998</v>
      </c>
      <c r="D59" s="186">
        <f>D38</f>
        <v>159.07999999999998</v>
      </c>
      <c r="E59" s="183"/>
      <c r="F59" s="186">
        <f>F38</f>
        <v>0</v>
      </c>
      <c r="G59" s="183"/>
      <c r="H59" s="186">
        <f>H38</f>
        <v>-159.07999999999998</v>
      </c>
    </row>
    <row r="60" spans="1:8">
      <c r="A60" s="185" t="s">
        <v>194</v>
      </c>
      <c r="B60" s="189">
        <f>SUM(B39:B49)</f>
        <v>5214841.4800000023</v>
      </c>
      <c r="C60" s="189">
        <f>SUM(C39:C49)</f>
        <v>948087.49000000011</v>
      </c>
      <c r="D60" s="189">
        <f>SUM(D39:D49)</f>
        <v>6162928.9700000025</v>
      </c>
      <c r="E60" s="183"/>
      <c r="F60" s="189">
        <f>SUM(F39:F49)</f>
        <v>-125713.50000000001</v>
      </c>
      <c r="G60" s="183"/>
      <c r="H60" s="246">
        <f>SUM(H39:H49)</f>
        <v>-6037215.4700000016</v>
      </c>
    </row>
    <row r="61" spans="1:8">
      <c r="A61" s="120" t="str">
        <f>A50</f>
        <v>Grand Total</v>
      </c>
      <c r="B61" s="186">
        <f>SUM(B53:B60)</f>
        <v>6108252.0100000026</v>
      </c>
      <c r="C61" s="186">
        <f>SUM(C53:C60)</f>
        <v>1788641.87</v>
      </c>
      <c r="D61" s="186">
        <f>SUM(D53:D60)</f>
        <v>7896893.8800000027</v>
      </c>
      <c r="E61" s="183"/>
      <c r="F61" s="186">
        <f>SUM(F53:F60)</f>
        <v>-282193.46000000002</v>
      </c>
      <c r="G61" s="183"/>
      <c r="H61" s="186">
        <f>SUM(H53:H60)</f>
        <v>-7614700.4200000018</v>
      </c>
    </row>
    <row r="62" spans="1:8" ht="14.25" customHeight="1">
      <c r="F62" s="184"/>
    </row>
    <row r="63" spans="1:8" ht="14.25" customHeight="1">
      <c r="A63" s="120" t="s">
        <v>196</v>
      </c>
      <c r="B63" s="186"/>
      <c r="C63" s="186">
        <f>+SUM(C53:C59)</f>
        <v>840554.38</v>
      </c>
      <c r="D63" s="186"/>
      <c r="E63" s="183"/>
      <c r="F63" s="190"/>
      <c r="G63" s="183"/>
      <c r="H63" s="186"/>
    </row>
    <row r="64" spans="1:8" ht="14.25" customHeight="1">
      <c r="C64" s="186"/>
      <c r="D64" s="183"/>
      <c r="E64" s="183"/>
      <c r="F64" s="184"/>
      <c r="G64" s="183"/>
      <c r="H64" s="183"/>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sheetData>
  <mergeCells count="7">
    <mergeCell ref="A11:H11"/>
    <mergeCell ref="B13:D13"/>
    <mergeCell ref="A3:H3"/>
    <mergeCell ref="A4:H4"/>
    <mergeCell ref="A5:H5"/>
    <mergeCell ref="A6:H6"/>
    <mergeCell ref="A9:H9"/>
  </mergeCells>
  <printOptions horizontalCentered="1"/>
  <pageMargins left="0.7" right="0.7" top="0.75" bottom="0.75" header="0.3" footer="0.3"/>
  <pageSetup scale="78"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78"/>
  <sheetViews>
    <sheetView zoomScaleNormal="100" workbookViewId="0">
      <pane ySplit="2" topLeftCell="A3" activePane="bottomLeft" state="frozen"/>
      <selection pane="bottomLeft"/>
    </sheetView>
  </sheetViews>
  <sheetFormatPr defaultColWidth="11.44140625" defaultRowHeight="13.2"/>
  <cols>
    <col min="1" max="1" width="4.88671875" style="122" bestFit="1" customWidth="1"/>
    <col min="2" max="2" width="60.88671875" style="122" bestFit="1" customWidth="1"/>
    <col min="3" max="3" width="31.109375" style="123" customWidth="1"/>
    <col min="4" max="4" width="22.6640625" style="122" bestFit="1" customWidth="1"/>
    <col min="5" max="5" width="11.44140625" style="122"/>
    <col min="6" max="6" width="14.6640625" style="122" bestFit="1" customWidth="1"/>
    <col min="7" max="7" width="13.109375" style="122" bestFit="1" customWidth="1"/>
    <col min="8" max="16384" width="11.44140625" style="122"/>
  </cols>
  <sheetData>
    <row r="1" spans="1:4">
      <c r="D1" s="124"/>
    </row>
    <row r="2" spans="1:4" ht="26.4">
      <c r="A2" s="125" t="s">
        <v>290</v>
      </c>
      <c r="B2" s="126" t="s">
        <v>578</v>
      </c>
      <c r="C2" s="127" t="s">
        <v>291</v>
      </c>
      <c r="D2" s="128" t="s">
        <v>292</v>
      </c>
    </row>
    <row r="3" spans="1:4">
      <c r="A3" s="129"/>
      <c r="D3" s="130"/>
    </row>
    <row r="4" spans="1:4">
      <c r="A4" s="129">
        <v>1</v>
      </c>
      <c r="B4" s="131" t="s">
        <v>293</v>
      </c>
      <c r="C4" s="131"/>
    </row>
    <row r="5" spans="1:4">
      <c r="A5" s="129">
        <f t="shared" ref="A5:A10" si="0">A4+1</f>
        <v>2</v>
      </c>
      <c r="B5" s="132" t="s">
        <v>294</v>
      </c>
      <c r="C5" s="123" t="s">
        <v>295</v>
      </c>
      <c r="D5" s="133">
        <v>963070485</v>
      </c>
    </row>
    <row r="6" spans="1:4">
      <c r="A6" s="129">
        <f t="shared" si="0"/>
        <v>3</v>
      </c>
      <c r="B6" s="134" t="s">
        <v>296</v>
      </c>
      <c r="C6" s="135" t="s">
        <v>297</v>
      </c>
      <c r="D6" s="136">
        <v>419210</v>
      </c>
    </row>
    <row r="7" spans="1:4" ht="12.75" customHeight="1">
      <c r="A7" s="129">
        <f t="shared" si="0"/>
        <v>4</v>
      </c>
      <c r="B7" s="132" t="s">
        <v>298</v>
      </c>
      <c r="C7" s="135" t="s">
        <v>299</v>
      </c>
      <c r="D7" s="136">
        <v>0</v>
      </c>
    </row>
    <row r="8" spans="1:4" ht="12.75" customHeight="1">
      <c r="A8" s="129">
        <f t="shared" si="0"/>
        <v>5</v>
      </c>
      <c r="B8" s="132" t="s">
        <v>300</v>
      </c>
      <c r="C8" s="135" t="s">
        <v>301</v>
      </c>
      <c r="D8" s="136">
        <v>0</v>
      </c>
    </row>
    <row r="9" spans="1:4" ht="12.75" customHeight="1">
      <c r="A9" s="129">
        <f t="shared" si="0"/>
        <v>6</v>
      </c>
      <c r="B9" s="132" t="s">
        <v>302</v>
      </c>
      <c r="C9" s="135" t="s">
        <v>303</v>
      </c>
      <c r="D9" s="137">
        <v>0</v>
      </c>
    </row>
    <row r="10" spans="1:4" ht="12.75" customHeight="1">
      <c r="A10" s="129">
        <f t="shared" si="0"/>
        <v>7</v>
      </c>
      <c r="B10" s="138" t="s">
        <v>304</v>
      </c>
      <c r="C10" s="131" t="str">
        <f>"Ln"&amp;A5&amp;" - "&amp;"Ln"&amp;A6&amp;" - "&amp;"Ln"&amp;A7&amp;" - "&amp;"Ln"&amp;A8&amp;" - "&amp;"Ln"&amp;A9&amp;""</f>
        <v>Ln2 - Ln3 - Ln4 - Ln5 - Ln6</v>
      </c>
      <c r="D10" s="133">
        <f>D5-D6-D7-D8-D9</f>
        <v>962651275</v>
      </c>
    </row>
    <row r="11" spans="1:4" ht="3.9" customHeight="1">
      <c r="D11" s="133"/>
    </row>
    <row r="12" spans="1:4" ht="12.75" customHeight="1">
      <c r="A12" s="129">
        <f>A10+1</f>
        <v>8</v>
      </c>
      <c r="B12" s="132" t="s">
        <v>42</v>
      </c>
      <c r="C12" s="123" t="s">
        <v>305</v>
      </c>
      <c r="D12" s="133">
        <v>941634204</v>
      </c>
    </row>
    <row r="13" spans="1:4" ht="12.75" customHeight="1">
      <c r="A13" s="129">
        <f>A12+1</f>
        <v>9</v>
      </c>
      <c r="B13" s="132" t="s">
        <v>306</v>
      </c>
      <c r="C13" s="123" t="s">
        <v>307</v>
      </c>
      <c r="D13" s="137">
        <v>0</v>
      </c>
    </row>
    <row r="14" spans="1:4" ht="12.75" customHeight="1">
      <c r="A14" s="129">
        <f>A13+1</f>
        <v>10</v>
      </c>
      <c r="B14" s="138" t="s">
        <v>308</v>
      </c>
      <c r="C14" s="123" t="str">
        <f>"Ln"&amp;A12&amp;" - "&amp;"Ln"&amp;A13&amp;""</f>
        <v>Ln8 - Ln9</v>
      </c>
      <c r="D14" s="133">
        <f>D12-D13</f>
        <v>941634204</v>
      </c>
    </row>
    <row r="15" spans="1:4" ht="3.9" customHeight="1">
      <c r="B15" s="139"/>
      <c r="D15" s="133"/>
    </row>
    <row r="16" spans="1:4" ht="12.75" customHeight="1">
      <c r="A16" s="129">
        <f>A14+1</f>
        <v>11</v>
      </c>
      <c r="B16" s="132" t="s">
        <v>43</v>
      </c>
      <c r="C16" s="123" t="s">
        <v>309</v>
      </c>
      <c r="D16" s="133">
        <v>1442682371</v>
      </c>
    </row>
    <row r="17" spans="1:4" ht="12.75" customHeight="1">
      <c r="A17" s="129">
        <f>A16+1</f>
        <v>12</v>
      </c>
      <c r="B17" s="132" t="s">
        <v>306</v>
      </c>
      <c r="C17" s="123" t="s">
        <v>310</v>
      </c>
      <c r="D17" s="137">
        <v>0</v>
      </c>
    </row>
    <row r="18" spans="1:4" ht="12.75" customHeight="1">
      <c r="A18" s="129">
        <f>A17+1</f>
        <v>13</v>
      </c>
      <c r="B18" s="140" t="s">
        <v>311</v>
      </c>
      <c r="C18" s="123" t="str">
        <f>"Ln"&amp;A16&amp;" - "&amp;"Ln"&amp;A17&amp;""</f>
        <v>Ln11 - Ln12</v>
      </c>
      <c r="D18" s="133">
        <f>D16-D17</f>
        <v>1442682371</v>
      </c>
    </row>
    <row r="19" spans="1:4" ht="3.9" customHeight="1">
      <c r="B19" s="140"/>
      <c r="D19" s="133"/>
    </row>
    <row r="20" spans="1:4" ht="12.75" customHeight="1">
      <c r="A20" s="129">
        <f>A18+1</f>
        <v>14</v>
      </c>
      <c r="B20" s="132" t="s">
        <v>312</v>
      </c>
      <c r="C20" s="131" t="s">
        <v>313</v>
      </c>
      <c r="D20" s="136">
        <v>113549710</v>
      </c>
    </row>
    <row r="21" spans="1:4" ht="12.75" customHeight="1">
      <c r="A21" s="129">
        <f>A20+1</f>
        <v>15</v>
      </c>
      <c r="B21" s="134" t="s">
        <v>45</v>
      </c>
      <c r="C21" s="123" t="s">
        <v>314</v>
      </c>
      <c r="D21" s="136">
        <v>139664006</v>
      </c>
    </row>
    <row r="22" spans="1:4" ht="12.75" customHeight="1">
      <c r="A22" s="129">
        <f>A21+1</f>
        <v>16</v>
      </c>
      <c r="B22" s="132" t="s">
        <v>315</v>
      </c>
      <c r="C22" s="123" t="s">
        <v>316</v>
      </c>
      <c r="D22" s="137">
        <v>0</v>
      </c>
    </row>
    <row r="23" spans="1:4" ht="12.75" customHeight="1">
      <c r="A23" s="129">
        <f>A22+1</f>
        <v>17</v>
      </c>
      <c r="B23" s="138" t="s">
        <v>317</v>
      </c>
      <c r="C23" s="131" t="str">
        <f>"Ln"&amp;A20&amp;" + "&amp;"Ln"&amp;A21&amp;" - "&amp;"Ln"&amp;A22&amp;""</f>
        <v>Ln14 + Ln15 - Ln16</v>
      </c>
      <c r="D23" s="136">
        <f>D20+D21-D22</f>
        <v>253213716</v>
      </c>
    </row>
    <row r="24" spans="1:4" ht="3.9" customHeight="1">
      <c r="B24" s="138"/>
      <c r="D24" s="136"/>
    </row>
    <row r="25" spans="1:4" ht="12.75" customHeight="1">
      <c r="A25" s="129">
        <f>A23+1</f>
        <v>18</v>
      </c>
      <c r="B25" s="140" t="s">
        <v>318</v>
      </c>
      <c r="C25" s="123" t="s">
        <v>319</v>
      </c>
      <c r="D25" s="208">
        <v>0</v>
      </c>
    </row>
    <row r="26" spans="1:4" ht="12.75" customHeight="1">
      <c r="A26" s="129">
        <f>A25+1</f>
        <v>19</v>
      </c>
      <c r="B26" s="134" t="s">
        <v>320</v>
      </c>
      <c r="C26" s="141" t="str">
        <f>"Ln"&amp;A10&amp;"+"&amp;"Ln"&amp;A14&amp;"+"&amp;"Ln"&amp;A18&amp;"+"&amp;"Ln"&amp;A23&amp;"+"&amp;"Ln"&amp;A25&amp;""</f>
        <v>Ln7+Ln10+Ln13+Ln17+Ln18</v>
      </c>
      <c r="D26" s="136">
        <f>D10+D14+D18+D23</f>
        <v>3600181566</v>
      </c>
    </row>
    <row r="27" spans="1:4" ht="12.75" customHeight="1">
      <c r="D27" s="136"/>
    </row>
    <row r="28" spans="1:4" ht="12.75" customHeight="1">
      <c r="A28" s="129">
        <f>A26+1</f>
        <v>20</v>
      </c>
      <c r="B28" s="131" t="s">
        <v>96</v>
      </c>
      <c r="C28" s="131"/>
      <c r="D28" s="136"/>
    </row>
    <row r="29" spans="1:4" ht="12.75" customHeight="1">
      <c r="A29" s="129">
        <f t="shared" ref="A29:A39" si="1">A28+1</f>
        <v>21</v>
      </c>
      <c r="B29" s="134" t="s">
        <v>39</v>
      </c>
      <c r="C29" s="131" t="s">
        <v>321</v>
      </c>
      <c r="D29" s="133">
        <v>583332967</v>
      </c>
    </row>
    <row r="30" spans="1:4" ht="12.75" customHeight="1">
      <c r="A30" s="129">
        <f t="shared" si="1"/>
        <v>22</v>
      </c>
      <c r="B30" s="132" t="s">
        <v>296</v>
      </c>
      <c r="C30" s="142" t="s">
        <v>322</v>
      </c>
      <c r="D30" s="136">
        <v>2922594</v>
      </c>
    </row>
    <row r="31" spans="1:4" ht="12.75" customHeight="1">
      <c r="A31" s="129">
        <f t="shared" si="1"/>
        <v>23</v>
      </c>
      <c r="B31" s="132" t="s">
        <v>40</v>
      </c>
      <c r="C31" s="123" t="s">
        <v>323</v>
      </c>
      <c r="D31" s="133">
        <v>0</v>
      </c>
    </row>
    <row r="32" spans="1:4" ht="12.75" customHeight="1">
      <c r="A32" s="129">
        <f t="shared" si="1"/>
        <v>24</v>
      </c>
      <c r="B32" s="132" t="s">
        <v>298</v>
      </c>
      <c r="C32" s="142" t="s">
        <v>324</v>
      </c>
      <c r="D32" s="133">
        <v>0</v>
      </c>
    </row>
    <row r="33" spans="1:4" ht="12.75" customHeight="1">
      <c r="A33" s="129">
        <f t="shared" si="1"/>
        <v>25</v>
      </c>
      <c r="B33" s="132" t="s">
        <v>325</v>
      </c>
      <c r="C33" s="123" t="s">
        <v>326</v>
      </c>
      <c r="D33" s="133">
        <v>256221</v>
      </c>
    </row>
    <row r="34" spans="1:4" ht="12.75" customHeight="1">
      <c r="A34" s="129">
        <f t="shared" si="1"/>
        <v>26</v>
      </c>
      <c r="B34" s="132" t="s">
        <v>327</v>
      </c>
      <c r="C34" s="142" t="s">
        <v>328</v>
      </c>
      <c r="D34" s="133">
        <v>0</v>
      </c>
    </row>
    <row r="35" spans="1:4" ht="12.75" customHeight="1">
      <c r="A35" s="129">
        <f t="shared" si="1"/>
        <v>27</v>
      </c>
      <c r="B35" s="134" t="s">
        <v>329</v>
      </c>
      <c r="C35" s="123" t="s">
        <v>330</v>
      </c>
      <c r="D35" s="133">
        <v>0</v>
      </c>
    </row>
    <row r="36" spans="1:4" ht="12.75" customHeight="1">
      <c r="A36" s="129">
        <f t="shared" si="1"/>
        <v>28</v>
      </c>
      <c r="B36" s="132" t="s">
        <v>331</v>
      </c>
      <c r="C36" s="142" t="s">
        <v>332</v>
      </c>
      <c r="D36" s="133">
        <v>0</v>
      </c>
    </row>
    <row r="37" spans="1:4" ht="12.75" customHeight="1">
      <c r="A37" s="129">
        <f t="shared" si="1"/>
        <v>29</v>
      </c>
      <c r="B37" s="132" t="s">
        <v>333</v>
      </c>
      <c r="C37" s="123" t="s">
        <v>334</v>
      </c>
      <c r="D37" s="136">
        <v>0</v>
      </c>
    </row>
    <row r="38" spans="1:4" ht="12.75" customHeight="1">
      <c r="A38" s="129">
        <f t="shared" si="1"/>
        <v>30</v>
      </c>
      <c r="B38" s="132" t="s">
        <v>335</v>
      </c>
      <c r="C38" s="142" t="s">
        <v>336</v>
      </c>
      <c r="D38" s="137">
        <v>0</v>
      </c>
    </row>
    <row r="39" spans="1:4" ht="24">
      <c r="A39" s="129">
        <f t="shared" si="1"/>
        <v>31</v>
      </c>
      <c r="B39" s="138" t="s">
        <v>337</v>
      </c>
      <c r="C39" s="143" t="str">
        <f>"Ln"&amp;A29&amp;"-"&amp;"Ln"&amp;A30&amp;"+"&amp;"Ln"&amp;A31&amp;"-"&amp;"Ln"&amp;A32&amp;"+"&amp;"Ln"&amp;A33&amp;"-"&amp;"Ln"&amp;A34&amp;"+"&amp;"Ln"&amp;A35&amp;"-"&amp;"Ln"&amp;A36&amp;"+"&amp;"Ln"&amp;A37&amp;"-"&amp;"Ln"&amp;A38&amp;""</f>
        <v>Ln21-Ln22+Ln23-Ln24+Ln25-Ln26+Ln27-Ln28+Ln29-Ln30</v>
      </c>
      <c r="D39" s="133">
        <f>D29-D30+D31-D32+D33-D34+D35-D36+D37-D38</f>
        <v>580666594</v>
      </c>
    </row>
    <row r="40" spans="1:4" ht="3.9" customHeight="1">
      <c r="B40" s="144"/>
      <c r="C40" s="131"/>
      <c r="D40" s="133"/>
    </row>
    <row r="41" spans="1:4" ht="12.75" customHeight="1">
      <c r="A41" s="129">
        <f>A39+1</f>
        <v>32</v>
      </c>
      <c r="B41" s="132" t="s">
        <v>42</v>
      </c>
      <c r="C41" s="123" t="s">
        <v>338</v>
      </c>
      <c r="D41" s="133">
        <v>280011224</v>
      </c>
    </row>
    <row r="42" spans="1:4" ht="12.75" customHeight="1">
      <c r="A42" s="129">
        <f>A41+1</f>
        <v>33</v>
      </c>
      <c r="B42" s="132" t="s">
        <v>306</v>
      </c>
      <c r="C42" s="123" t="s">
        <v>339</v>
      </c>
      <c r="D42" s="137">
        <v>0</v>
      </c>
    </row>
    <row r="43" spans="1:4" ht="12.75" customHeight="1">
      <c r="A43" s="129">
        <f>A42+1</f>
        <v>34</v>
      </c>
      <c r="B43" s="138" t="s">
        <v>340</v>
      </c>
      <c r="C43" s="123" t="str">
        <f>"Ln"&amp;A41&amp;" - "&amp;"Ln"&amp;A42&amp;""</f>
        <v>Ln32 - Ln33</v>
      </c>
      <c r="D43" s="133">
        <f>D41-D42</f>
        <v>280011224</v>
      </c>
    </row>
    <row r="44" spans="1:4" ht="3.9" customHeight="1">
      <c r="B44" s="132"/>
      <c r="D44" s="133"/>
    </row>
    <row r="45" spans="1:4" ht="12.75" customHeight="1">
      <c r="A45" s="129">
        <f>A43+1</f>
        <v>35</v>
      </c>
      <c r="B45" s="132" t="s">
        <v>43</v>
      </c>
      <c r="C45" s="123" t="s">
        <v>341</v>
      </c>
      <c r="D45" s="133">
        <v>355855593</v>
      </c>
    </row>
    <row r="46" spans="1:4" ht="12.75" customHeight="1">
      <c r="A46" s="129">
        <f>A45+1</f>
        <v>36</v>
      </c>
      <c r="B46" s="132" t="s">
        <v>306</v>
      </c>
      <c r="C46" s="123" t="s">
        <v>342</v>
      </c>
      <c r="D46" s="137">
        <v>0</v>
      </c>
    </row>
    <row r="47" spans="1:4" ht="12.75" customHeight="1">
      <c r="A47" s="129">
        <f>A46+1</f>
        <v>37</v>
      </c>
      <c r="B47" s="140" t="s">
        <v>343</v>
      </c>
      <c r="C47" s="123" t="str">
        <f>"Ln"&amp;A45&amp;" - "&amp;"Ln"&amp;A46&amp;""</f>
        <v>Ln35 - Ln36</v>
      </c>
      <c r="D47" s="133">
        <f>D45-D46</f>
        <v>355855593</v>
      </c>
    </row>
    <row r="48" spans="1:4" ht="3.9" customHeight="1">
      <c r="B48" s="140"/>
      <c r="D48" s="133"/>
    </row>
    <row r="49" spans="1:4" ht="12.75" customHeight="1">
      <c r="A49" s="129">
        <f>A47+1</f>
        <v>38</v>
      </c>
      <c r="B49" s="134" t="s">
        <v>45</v>
      </c>
      <c r="C49" s="131" t="s">
        <v>344</v>
      </c>
      <c r="D49" s="136">
        <v>63531356</v>
      </c>
    </row>
    <row r="50" spans="1:4" ht="12.75" customHeight="1">
      <c r="A50" s="129">
        <f>A49+1</f>
        <v>39</v>
      </c>
      <c r="B50" s="132" t="s">
        <v>306</v>
      </c>
      <c r="C50" s="123" t="s">
        <v>345</v>
      </c>
      <c r="D50" s="136">
        <v>0</v>
      </c>
    </row>
    <row r="51" spans="1:4" ht="12.75" customHeight="1">
      <c r="A51" s="129">
        <f>A50+1</f>
        <v>40</v>
      </c>
      <c r="B51" s="132" t="s">
        <v>312</v>
      </c>
      <c r="C51" s="123" t="s">
        <v>346</v>
      </c>
      <c r="D51" s="137">
        <v>88034656</v>
      </c>
    </row>
    <row r="52" spans="1:4" ht="12.75" customHeight="1">
      <c r="A52" s="129">
        <f>A51+1</f>
        <v>41</v>
      </c>
      <c r="B52" s="138" t="s">
        <v>317</v>
      </c>
      <c r="C52" s="131" t="str">
        <f>"Ln"&amp;A49&amp;" - "&amp;"Ln"&amp;A50&amp;" + "&amp;"Ln"&amp;A51&amp;""</f>
        <v>Ln38 - Ln39 + Ln40</v>
      </c>
      <c r="D52" s="136">
        <f>D49-D50+D51</f>
        <v>151566012</v>
      </c>
    </row>
    <row r="53" spans="1:4" ht="3.9" customHeight="1">
      <c r="B53" s="140"/>
      <c r="D53" s="136"/>
    </row>
    <row r="54" spans="1:4" ht="12.75" customHeight="1">
      <c r="A54" s="129">
        <f>A52+1</f>
        <v>42</v>
      </c>
      <c r="B54" s="140" t="s">
        <v>318</v>
      </c>
      <c r="C54" s="123" t="s">
        <v>319</v>
      </c>
      <c r="D54" s="208">
        <v>0</v>
      </c>
    </row>
    <row r="55" spans="1:4" ht="12.75" customHeight="1">
      <c r="A55" s="129">
        <f>A54+1</f>
        <v>43</v>
      </c>
      <c r="B55" s="134" t="s">
        <v>347</v>
      </c>
      <c r="C55" s="141" t="str">
        <f>"Ln"&amp;A39&amp;"+"&amp;"Ln"&amp;A43&amp;"+"&amp;"Ln"&amp;A47&amp;"+"&amp;"Ln"&amp;A52&amp;"+"&amp;"Ln"&amp;A54&amp;""</f>
        <v>Ln31+Ln34+Ln37+Ln41+Ln42</v>
      </c>
      <c r="D55" s="209">
        <f>D39+D43+D47+D52+D54</f>
        <v>1368099423</v>
      </c>
    </row>
    <row r="56" spans="1:4" ht="12.75" customHeight="1">
      <c r="D56" s="133"/>
    </row>
    <row r="57" spans="1:4" ht="12.75" customHeight="1">
      <c r="A57" s="129">
        <f>A55+1</f>
        <v>44</v>
      </c>
      <c r="B57" s="131" t="s">
        <v>348</v>
      </c>
      <c r="C57" s="131"/>
      <c r="D57" s="133"/>
    </row>
    <row r="58" spans="1:4" ht="12.75" customHeight="1">
      <c r="A58" s="129">
        <f>A57+1</f>
        <v>45</v>
      </c>
      <c r="B58" s="138" t="s">
        <v>349</v>
      </c>
      <c r="C58" s="123" t="s">
        <v>350</v>
      </c>
      <c r="D58" s="133">
        <v>-11215</v>
      </c>
    </row>
    <row r="59" spans="1:4" ht="12.75" customHeight="1">
      <c r="A59" s="129">
        <f>A58+1</f>
        <v>46</v>
      </c>
      <c r="B59" s="134" t="s">
        <v>351</v>
      </c>
      <c r="C59" s="131" t="s">
        <v>352</v>
      </c>
      <c r="D59" s="133">
        <v>-706725794</v>
      </c>
    </row>
    <row r="60" spans="1:4" ht="12.75" customHeight="1">
      <c r="A60" s="129">
        <f>A59+1</f>
        <v>47</v>
      </c>
      <c r="B60" s="134" t="s">
        <v>353</v>
      </c>
      <c r="C60" s="131" t="s">
        <v>354</v>
      </c>
      <c r="D60" s="208">
        <f>'WP 2'!E19</f>
        <v>-73428116.100000009</v>
      </c>
    </row>
    <row r="61" spans="1:4" ht="12.75" customHeight="1">
      <c r="A61" s="129">
        <f>A60+1</f>
        <v>48</v>
      </c>
      <c r="B61" s="140" t="s">
        <v>355</v>
      </c>
      <c r="C61" s="123" t="str">
        <f>"Ln"&amp;A59&amp;" - "&amp;"Ln"&amp;A60&amp;""</f>
        <v>Ln46 - Ln47</v>
      </c>
      <c r="D61" s="133">
        <f>D59-D60</f>
        <v>-633297677.89999998</v>
      </c>
    </row>
    <row r="62" spans="1:4" ht="3.9" customHeight="1">
      <c r="B62" s="139"/>
      <c r="D62" s="133"/>
    </row>
    <row r="63" spans="1:4" ht="12.75" customHeight="1">
      <c r="A63" s="129">
        <f>A61+1</f>
        <v>49</v>
      </c>
      <c r="B63" s="134" t="s">
        <v>356</v>
      </c>
      <c r="C63" s="123" t="s">
        <v>357</v>
      </c>
      <c r="D63" s="133">
        <v>-383163426</v>
      </c>
    </row>
    <row r="64" spans="1:4" ht="12.75" customHeight="1">
      <c r="A64" s="129">
        <f>A63+1</f>
        <v>50</v>
      </c>
      <c r="B64" s="134" t="s">
        <v>358</v>
      </c>
      <c r="C64" s="131" t="s">
        <v>354</v>
      </c>
      <c r="D64" s="208">
        <f>'WP 2'!E20</f>
        <v>-68323330.879999995</v>
      </c>
    </row>
    <row r="65" spans="1:4" ht="12.75" customHeight="1">
      <c r="A65" s="129">
        <f>A64+1</f>
        <v>51</v>
      </c>
      <c r="B65" s="138" t="s">
        <v>359</v>
      </c>
      <c r="C65" s="123" t="str">
        <f>"Ln"&amp;A63&amp;" - "&amp;"Ln"&amp;A64&amp;""</f>
        <v>Ln49 - Ln50</v>
      </c>
      <c r="D65" s="133">
        <f>D63-D64</f>
        <v>-314840095.12</v>
      </c>
    </row>
    <row r="66" spans="1:4" ht="3.9" customHeight="1">
      <c r="B66" s="144"/>
      <c r="C66" s="131"/>
      <c r="D66" s="133"/>
    </row>
    <row r="67" spans="1:4" ht="12.75" customHeight="1">
      <c r="A67" s="129">
        <f>A65+1</f>
        <v>52</v>
      </c>
      <c r="B67" s="134" t="s">
        <v>360</v>
      </c>
      <c r="C67" s="123" t="s">
        <v>361</v>
      </c>
      <c r="D67" s="133">
        <v>68218462</v>
      </c>
    </row>
    <row r="68" spans="1:4" ht="12.75" customHeight="1">
      <c r="A68" s="129">
        <f>A67+1</f>
        <v>53</v>
      </c>
      <c r="B68" s="134" t="s">
        <v>362</v>
      </c>
      <c r="C68" s="131" t="s">
        <v>354</v>
      </c>
      <c r="D68" s="133">
        <f>'WP 2'!E18</f>
        <v>12682592.310000001</v>
      </c>
    </row>
    <row r="69" spans="1:4" ht="12.75" customHeight="1">
      <c r="A69" s="129">
        <f>A68+1</f>
        <v>54</v>
      </c>
      <c r="B69" s="138" t="s">
        <v>363</v>
      </c>
      <c r="C69" s="123" t="str">
        <f>"Ln"&amp;A67&amp;" - "&amp;"Ln"&amp;A68&amp;""</f>
        <v>Ln52 - Ln53</v>
      </c>
      <c r="D69" s="133">
        <f>D67-D68</f>
        <v>55535869.689999998</v>
      </c>
    </row>
    <row r="70" spans="1:4" ht="12.75" customHeight="1">
      <c r="B70" s="134"/>
      <c r="C70" s="131"/>
    </row>
    <row r="71" spans="1:4" ht="12.75" customHeight="1">
      <c r="A71" s="129">
        <f>A69+1</f>
        <v>55</v>
      </c>
      <c r="B71" s="131" t="s">
        <v>364</v>
      </c>
      <c r="C71" s="131" t="s">
        <v>365</v>
      </c>
      <c r="D71" s="210">
        <f>'WP 3'!G10</f>
        <v>8691151.9800000004</v>
      </c>
    </row>
    <row r="72" spans="1:4" ht="12.75" customHeight="1">
      <c r="B72" s="138"/>
      <c r="D72" s="133"/>
    </row>
    <row r="73" spans="1:4" ht="12.75" customHeight="1">
      <c r="A73" s="129">
        <f>A71+1</f>
        <v>56</v>
      </c>
      <c r="B73" s="131" t="s">
        <v>366</v>
      </c>
      <c r="C73" s="131"/>
      <c r="D73" s="133"/>
    </row>
    <row r="74" spans="1:4" ht="12.75" customHeight="1">
      <c r="A74" s="129">
        <f>A73+1</f>
        <v>57</v>
      </c>
      <c r="B74" s="134" t="s">
        <v>367</v>
      </c>
      <c r="C74" s="131" t="s">
        <v>368</v>
      </c>
      <c r="D74" s="133">
        <v>3342695</v>
      </c>
    </row>
    <row r="75" spans="1:4" ht="12.75" customHeight="1">
      <c r="A75" s="129">
        <f>A74+1</f>
        <v>58</v>
      </c>
      <c r="B75" s="134" t="s">
        <v>369</v>
      </c>
      <c r="C75" s="123" t="s">
        <v>370</v>
      </c>
      <c r="D75" s="133">
        <v>2647437</v>
      </c>
    </row>
    <row r="76" spans="1:4" ht="12.75" customHeight="1">
      <c r="A76" s="129">
        <f>A75+1</f>
        <v>59</v>
      </c>
      <c r="B76" s="132" t="s">
        <v>371</v>
      </c>
      <c r="C76" s="123" t="s">
        <v>372</v>
      </c>
      <c r="D76" s="133">
        <v>31420773</v>
      </c>
    </row>
    <row r="77" spans="1:4" ht="12.75" customHeight="1">
      <c r="A77" s="129">
        <f>A76+1</f>
        <v>60</v>
      </c>
      <c r="B77" s="134" t="s">
        <v>373</v>
      </c>
      <c r="C77" s="131" t="s">
        <v>374</v>
      </c>
      <c r="D77" s="137">
        <f>(D74/D76)*D75</f>
        <v>281647.25364060904</v>
      </c>
    </row>
    <row r="78" spans="1:4" ht="12.75" customHeight="1">
      <c r="A78" s="129">
        <f>A77+1</f>
        <v>61</v>
      </c>
      <c r="B78" s="140" t="s">
        <v>375</v>
      </c>
      <c r="C78" s="123" t="s">
        <v>376</v>
      </c>
      <c r="D78" s="133">
        <f>D74+D77</f>
        <v>3624342.2536406089</v>
      </c>
    </row>
    <row r="79" spans="1:4" ht="12.75" customHeight="1">
      <c r="A79" s="129"/>
      <c r="B79" s="140"/>
      <c r="D79" s="133"/>
    </row>
    <row r="80" spans="1:4" ht="12.75" customHeight="1">
      <c r="A80" s="129">
        <f>A78+1</f>
        <v>62</v>
      </c>
      <c r="B80" s="131" t="s">
        <v>377</v>
      </c>
      <c r="C80" s="123" t="s">
        <v>378</v>
      </c>
      <c r="D80" s="133">
        <v>10062807</v>
      </c>
    </row>
    <row r="81" spans="1:27" ht="12.75" customHeight="1">
      <c r="A81" s="129"/>
      <c r="D81" s="133"/>
    </row>
    <row r="82" spans="1:27" ht="12.75" customHeight="1">
      <c r="A82" s="129">
        <f>A80+1</f>
        <v>63</v>
      </c>
      <c r="B82" s="145" t="s">
        <v>379</v>
      </c>
      <c r="D82" s="133"/>
    </row>
    <row r="83" spans="1:27" ht="12.75" customHeight="1">
      <c r="A83" s="129">
        <f>A82+1</f>
        <v>64</v>
      </c>
      <c r="B83" s="132" t="s">
        <v>210</v>
      </c>
      <c r="C83" s="123" t="s">
        <v>380</v>
      </c>
      <c r="D83" s="133">
        <v>27745640</v>
      </c>
    </row>
    <row r="84" spans="1:27" ht="12.75" customHeight="1">
      <c r="A84" s="129">
        <f>A83+1</f>
        <v>65</v>
      </c>
      <c r="B84" s="144" t="s">
        <v>381</v>
      </c>
      <c r="C84" s="123" t="s">
        <v>382</v>
      </c>
      <c r="D84" s="133">
        <f>'WP 15'!H57*-1</f>
        <v>476000.7800000002</v>
      </c>
      <c r="E84" s="133"/>
      <c r="F84" s="136"/>
      <c r="G84" s="133"/>
      <c r="H84" s="133"/>
      <c r="I84" s="133"/>
      <c r="J84" s="133"/>
      <c r="K84" s="133"/>
      <c r="L84" s="133"/>
      <c r="M84" s="133"/>
      <c r="N84" s="133"/>
      <c r="O84" s="133"/>
      <c r="P84" s="133"/>
      <c r="Q84" s="133"/>
      <c r="R84" s="133"/>
      <c r="S84" s="133"/>
      <c r="T84" s="133"/>
      <c r="U84" s="133"/>
      <c r="V84" s="133"/>
      <c r="W84" s="133"/>
      <c r="X84" s="133"/>
      <c r="Y84" s="133"/>
      <c r="Z84" s="133"/>
      <c r="AA84" s="133"/>
    </row>
    <row r="85" spans="1:27" ht="12.75" customHeight="1">
      <c r="A85" s="129">
        <f>A84+1</f>
        <v>66</v>
      </c>
      <c r="B85" s="144" t="s">
        <v>383</v>
      </c>
      <c r="C85" s="131" t="s">
        <v>384</v>
      </c>
      <c r="D85" s="133">
        <f>'WP 16'!F38</f>
        <v>1009823.9299999999</v>
      </c>
      <c r="E85" s="146"/>
      <c r="F85" s="136"/>
      <c r="G85" s="133"/>
      <c r="H85" s="133"/>
      <c r="I85" s="133"/>
      <c r="J85" s="133"/>
      <c r="K85" s="133"/>
      <c r="L85" s="133"/>
      <c r="M85" s="133"/>
      <c r="N85" s="133"/>
      <c r="O85" s="133"/>
      <c r="P85" s="133"/>
      <c r="Q85" s="133"/>
      <c r="R85" s="133"/>
      <c r="S85" s="133"/>
      <c r="T85" s="133"/>
      <c r="U85" s="133"/>
      <c r="V85" s="133"/>
      <c r="W85" s="133"/>
      <c r="X85" s="133"/>
      <c r="Y85" s="133"/>
      <c r="Z85" s="133"/>
      <c r="AA85" s="133"/>
    </row>
    <row r="86" spans="1:27" ht="12.75" customHeight="1">
      <c r="A86" s="129">
        <f>A85+1</f>
        <v>67</v>
      </c>
      <c r="B86" s="134" t="s">
        <v>385</v>
      </c>
      <c r="C86" s="123" t="s">
        <v>386</v>
      </c>
      <c r="D86" s="137">
        <f>'WP 9'!E11</f>
        <v>768896.39</v>
      </c>
    </row>
    <row r="87" spans="1:27" ht="12.75" customHeight="1">
      <c r="A87" s="129">
        <f>A86+1</f>
        <v>68</v>
      </c>
      <c r="B87" s="138" t="s">
        <v>286</v>
      </c>
      <c r="C87" s="131" t="str">
        <f>"Ln"&amp;A83&amp;" - "&amp;"Ln"&amp;A84&amp;" - "&amp;"Ln"&amp;A85&amp;" - "&amp;"Ln"&amp;A86</f>
        <v>Ln64 - Ln65 - Ln66 - Ln67</v>
      </c>
      <c r="D87" s="133">
        <f>D83-D84-D85-D86</f>
        <v>25490918.899999999</v>
      </c>
    </row>
    <row r="88" spans="1:27" ht="3.9" customHeight="1">
      <c r="A88" s="129"/>
      <c r="B88" s="140"/>
      <c r="D88" s="133"/>
    </row>
    <row r="89" spans="1:27" ht="12.75" customHeight="1">
      <c r="A89" s="129">
        <f>A87+1</f>
        <v>69</v>
      </c>
      <c r="B89" s="134" t="s">
        <v>387</v>
      </c>
      <c r="C89" s="131" t="s">
        <v>388</v>
      </c>
      <c r="D89" s="133">
        <v>130967</v>
      </c>
    </row>
    <row r="90" spans="1:27" ht="12.75" customHeight="1">
      <c r="A90" s="129">
        <f>A89+1</f>
        <v>70</v>
      </c>
      <c r="B90" s="134" t="s">
        <v>389</v>
      </c>
      <c r="C90" s="123" t="s">
        <v>390</v>
      </c>
      <c r="D90" s="137">
        <v>0</v>
      </c>
    </row>
    <row r="91" spans="1:27" ht="12.75" customHeight="1">
      <c r="A91" s="129">
        <f>A90+1</f>
        <v>71</v>
      </c>
      <c r="B91" s="138" t="s">
        <v>391</v>
      </c>
      <c r="C91" s="123" t="str">
        <f>"Ln"&amp;A89&amp;" + "&amp;"Ln"&amp;A90&amp;""</f>
        <v>Ln69 + Ln70</v>
      </c>
      <c r="D91" s="133">
        <f>SUM(D89:D90)</f>
        <v>130967</v>
      </c>
    </row>
    <row r="92" spans="1:27" ht="3.9" customHeight="1">
      <c r="A92" s="129"/>
      <c r="B92" s="138"/>
      <c r="C92" s="131"/>
      <c r="D92" s="133"/>
    </row>
    <row r="93" spans="1:27" ht="12.75" customHeight="1">
      <c r="A93" s="129">
        <f>A91+1</f>
        <v>72</v>
      </c>
      <c r="B93" s="138" t="s">
        <v>392</v>
      </c>
      <c r="C93" s="123" t="s">
        <v>393</v>
      </c>
      <c r="D93" s="133">
        <v>10500485</v>
      </c>
    </row>
    <row r="94" spans="1:27" ht="12.75" customHeight="1">
      <c r="A94" s="129">
        <f>A93+1</f>
        <v>73</v>
      </c>
      <c r="B94" s="140" t="s">
        <v>394</v>
      </c>
      <c r="C94" s="123" t="s">
        <v>395</v>
      </c>
      <c r="D94" s="133">
        <v>102264543</v>
      </c>
      <c r="E94" s="133"/>
      <c r="G94" s="133"/>
      <c r="H94" s="133"/>
      <c r="I94" s="133"/>
      <c r="J94" s="133"/>
      <c r="K94" s="133"/>
      <c r="L94" s="133"/>
      <c r="M94" s="133"/>
      <c r="N94" s="133"/>
      <c r="O94" s="133"/>
      <c r="P94" s="133"/>
      <c r="Q94" s="133"/>
      <c r="R94" s="133"/>
      <c r="S94" s="133"/>
      <c r="T94" s="133"/>
      <c r="U94" s="133"/>
      <c r="V94" s="133"/>
      <c r="W94" s="133"/>
      <c r="X94" s="133"/>
      <c r="Y94" s="133"/>
      <c r="Z94" s="133"/>
      <c r="AA94" s="133"/>
    </row>
    <row r="95" spans="1:27" ht="12.75" customHeight="1">
      <c r="A95" s="129">
        <f>A94+1</f>
        <v>74</v>
      </c>
      <c r="B95" s="134" t="s">
        <v>381</v>
      </c>
      <c r="C95" s="123" t="s">
        <v>382</v>
      </c>
      <c r="D95" s="133">
        <f>'WP 15'!H60*-1</f>
        <v>6037215.4700000016</v>
      </c>
      <c r="E95" s="133"/>
      <c r="F95" s="136"/>
      <c r="G95" s="133"/>
      <c r="H95" s="133"/>
      <c r="I95" s="133"/>
      <c r="J95" s="133"/>
      <c r="K95" s="133"/>
      <c r="L95" s="133"/>
      <c r="M95" s="133"/>
      <c r="N95" s="133"/>
      <c r="O95" s="133"/>
      <c r="P95" s="133"/>
      <c r="Q95" s="133"/>
      <c r="R95" s="133"/>
      <c r="S95" s="133"/>
      <c r="T95" s="133"/>
      <c r="U95" s="133"/>
      <c r="V95" s="133"/>
      <c r="W95" s="133"/>
      <c r="X95" s="133"/>
      <c r="Y95" s="133"/>
      <c r="Z95" s="133"/>
      <c r="AA95" s="133"/>
    </row>
    <row r="96" spans="1:27" ht="12.75" customHeight="1">
      <c r="A96" s="129">
        <f>A95+1</f>
        <v>75</v>
      </c>
      <c r="B96" s="134" t="s">
        <v>383</v>
      </c>
      <c r="C96" s="131" t="s">
        <v>384</v>
      </c>
      <c r="D96" s="137">
        <f>'WP 16'!F55</f>
        <v>9121442.2899999991</v>
      </c>
      <c r="E96" s="133"/>
      <c r="F96" s="136"/>
      <c r="G96" s="133"/>
      <c r="H96" s="133"/>
      <c r="I96" s="133"/>
      <c r="J96" s="133"/>
      <c r="K96" s="133"/>
      <c r="L96" s="133"/>
      <c r="M96" s="133"/>
      <c r="N96" s="133"/>
      <c r="O96" s="133"/>
      <c r="P96" s="133"/>
      <c r="Q96" s="133"/>
      <c r="R96" s="133"/>
      <c r="S96" s="133"/>
      <c r="T96" s="133"/>
      <c r="U96" s="133"/>
      <c r="V96" s="133"/>
      <c r="W96" s="133"/>
      <c r="X96" s="133"/>
      <c r="Y96" s="133"/>
      <c r="Z96" s="133"/>
      <c r="AA96" s="133"/>
    </row>
    <row r="97" spans="1:27" ht="12.75" customHeight="1">
      <c r="A97" s="129">
        <f>A96+1</f>
        <v>76</v>
      </c>
      <c r="B97" s="138" t="s">
        <v>396</v>
      </c>
      <c r="C97" s="131" t="str">
        <f>"Ln"&amp;A94&amp;" - "&amp;"Ln"&amp;A95&amp;" - "&amp;"Ln"&amp;A96</f>
        <v>Ln73 - Ln74 - Ln75</v>
      </c>
      <c r="D97" s="133">
        <f>D94-D95-D96</f>
        <v>87105885.24000001</v>
      </c>
    </row>
    <row r="98" spans="1:27" ht="12.75" customHeight="1">
      <c r="A98" s="129">
        <f>A97+1</f>
        <v>77</v>
      </c>
      <c r="B98" s="138" t="s">
        <v>397</v>
      </c>
      <c r="C98" s="123" t="s">
        <v>398</v>
      </c>
      <c r="D98" s="133">
        <v>751825</v>
      </c>
    </row>
    <row r="99" spans="1:27" ht="3.9" customHeight="1">
      <c r="A99" s="129"/>
      <c r="B99" s="132"/>
      <c r="D99" s="133"/>
    </row>
    <row r="100" spans="1:27" ht="12.75" customHeight="1">
      <c r="A100" s="129">
        <f>A98+1</f>
        <v>78</v>
      </c>
      <c r="B100" s="144" t="s">
        <v>399</v>
      </c>
      <c r="C100" s="123" t="s">
        <v>703</v>
      </c>
      <c r="D100" s="133">
        <v>49988</v>
      </c>
    </row>
    <row r="101" spans="1:27" ht="12.75" customHeight="1">
      <c r="A101" s="129">
        <f t="shared" ref="A101:A112" si="2">A100+1</f>
        <v>79</v>
      </c>
      <c r="B101" s="139" t="s">
        <v>160</v>
      </c>
      <c r="C101" s="131" t="s">
        <v>400</v>
      </c>
      <c r="D101" s="137">
        <f>'WP 4'!F19</f>
        <v>98484.829999999987</v>
      </c>
    </row>
    <row r="102" spans="1:27" ht="12.75" customHeight="1">
      <c r="A102" s="129">
        <f t="shared" si="2"/>
        <v>80</v>
      </c>
      <c r="B102" s="134" t="s">
        <v>401</v>
      </c>
      <c r="C102" s="123" t="str">
        <f>"Ln"&amp;A100&amp;" + "&amp;"Ln"&amp;A101&amp;""</f>
        <v>Ln78 + Ln79</v>
      </c>
      <c r="D102" s="133">
        <f>D100+D101</f>
        <v>148472.82999999999</v>
      </c>
    </row>
    <row r="103" spans="1:27" ht="12.75" customHeight="1">
      <c r="A103" s="129">
        <f t="shared" si="2"/>
        <v>81</v>
      </c>
      <c r="B103" s="134" t="s">
        <v>402</v>
      </c>
      <c r="C103" s="123" t="s">
        <v>403</v>
      </c>
      <c r="D103" s="133">
        <v>3406610</v>
      </c>
    </row>
    <row r="104" spans="1:27" ht="12.75" customHeight="1">
      <c r="A104" s="129">
        <f t="shared" si="2"/>
        <v>82</v>
      </c>
      <c r="B104" s="144" t="s">
        <v>381</v>
      </c>
      <c r="C104" s="123" t="s">
        <v>382</v>
      </c>
      <c r="D104" s="133">
        <f>-'WP 15'!H45</f>
        <v>220245.97000000003</v>
      </c>
      <c r="E104" s="146"/>
      <c r="F104" s="136"/>
      <c r="G104" s="133"/>
      <c r="H104" s="133"/>
      <c r="I104" s="133"/>
      <c r="J104" s="133"/>
      <c r="K104" s="133"/>
      <c r="L104" s="133"/>
      <c r="M104" s="133"/>
      <c r="N104" s="133"/>
      <c r="O104" s="133"/>
      <c r="P104" s="133"/>
      <c r="Q104" s="133"/>
      <c r="R104" s="133"/>
      <c r="S104" s="133"/>
      <c r="T104" s="133"/>
      <c r="U104" s="133"/>
      <c r="V104" s="133"/>
      <c r="W104" s="133"/>
      <c r="X104" s="133"/>
      <c r="Y104" s="133"/>
      <c r="Z104" s="133"/>
      <c r="AA104" s="133"/>
    </row>
    <row r="105" spans="1:27" ht="12.75" customHeight="1">
      <c r="A105" s="129">
        <f t="shared" si="2"/>
        <v>83</v>
      </c>
      <c r="B105" s="144" t="s">
        <v>383</v>
      </c>
      <c r="C105" s="123" t="s">
        <v>384</v>
      </c>
      <c r="D105" s="133">
        <f>'WP 16'!F49</f>
        <v>340350.99000000005</v>
      </c>
      <c r="E105" s="146"/>
      <c r="F105" s="136"/>
      <c r="G105" s="133"/>
      <c r="H105" s="133"/>
      <c r="I105" s="133"/>
      <c r="J105" s="133"/>
      <c r="K105" s="133"/>
      <c r="L105" s="133"/>
      <c r="M105" s="133"/>
      <c r="N105" s="133"/>
      <c r="O105" s="133"/>
      <c r="P105" s="133"/>
      <c r="Q105" s="133"/>
      <c r="R105" s="133"/>
      <c r="S105" s="133"/>
      <c r="T105" s="133"/>
      <c r="U105" s="133"/>
      <c r="V105" s="133"/>
      <c r="W105" s="133"/>
      <c r="X105" s="133"/>
      <c r="Y105" s="133"/>
      <c r="Z105" s="133"/>
      <c r="AA105" s="133"/>
    </row>
    <row r="106" spans="1:27" ht="12.75" customHeight="1">
      <c r="A106" s="129">
        <f t="shared" si="2"/>
        <v>84</v>
      </c>
      <c r="B106" s="134" t="s">
        <v>397</v>
      </c>
      <c r="C106" s="131" t="str">
        <f>C98</f>
        <v>350.3.b</v>
      </c>
      <c r="D106" s="137">
        <f>D98</f>
        <v>751825</v>
      </c>
    </row>
    <row r="107" spans="1:27" ht="12.75" customHeight="1">
      <c r="A107" s="129">
        <f t="shared" si="2"/>
        <v>85</v>
      </c>
      <c r="B107" s="132" t="s">
        <v>404</v>
      </c>
      <c r="C107" s="131" t="str">
        <f>"Ln"&amp;A103&amp;" - "&amp;"Ln"&amp;A104&amp;" - "&amp;"Ln"&amp;A105&amp;" - "&amp;"Ln"&amp;A106</f>
        <v>Ln81 - Ln82 - Ln83 - Ln84</v>
      </c>
      <c r="D107" s="133">
        <f>D103-D104-D105-D106</f>
        <v>2094188.0399999996</v>
      </c>
    </row>
    <row r="108" spans="1:27" ht="12.75" customHeight="1">
      <c r="A108" s="129">
        <f t="shared" si="2"/>
        <v>86</v>
      </c>
      <c r="B108" s="134" t="s">
        <v>405</v>
      </c>
      <c r="C108" s="123" t="s">
        <v>406</v>
      </c>
      <c r="D108" s="136">
        <v>66036</v>
      </c>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row>
    <row r="109" spans="1:27" ht="12.75" customHeight="1">
      <c r="A109" s="129">
        <f t="shared" si="2"/>
        <v>87</v>
      </c>
      <c r="B109" s="144" t="s">
        <v>381</v>
      </c>
      <c r="C109" s="123" t="s">
        <v>382</v>
      </c>
      <c r="D109" s="136">
        <f>'WP 15'!H46*-1</f>
        <v>2.2000000000000002</v>
      </c>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row>
    <row r="110" spans="1:27" ht="12.75" customHeight="1">
      <c r="A110" s="129">
        <f t="shared" si="2"/>
        <v>88</v>
      </c>
      <c r="B110" s="144" t="s">
        <v>383</v>
      </c>
      <c r="C110" s="123" t="s">
        <v>384</v>
      </c>
      <c r="D110" s="137">
        <f>'WP 16'!F50</f>
        <v>0</v>
      </c>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row>
    <row r="111" spans="1:27" ht="12.75" customHeight="1">
      <c r="A111" s="129">
        <f t="shared" si="2"/>
        <v>89</v>
      </c>
      <c r="B111" s="134" t="s">
        <v>407</v>
      </c>
      <c r="C111" s="131" t="str">
        <f>"Ln"&amp;A108&amp;" - "&amp;"Ln"&amp;A109&amp;" - "&amp;"Ln"&amp;A110</f>
        <v>Ln86 - Ln87 - Ln88</v>
      </c>
      <c r="D111" s="136">
        <f>D108-D109-D110</f>
        <v>66033.8</v>
      </c>
    </row>
    <row r="112" spans="1:27" ht="12.75" customHeight="1">
      <c r="A112" s="129">
        <f t="shared" si="2"/>
        <v>90</v>
      </c>
      <c r="B112" s="138" t="s">
        <v>408</v>
      </c>
      <c r="C112" s="131" t="str">
        <f>"Ln"&amp;A102&amp;" + "&amp;"Ln"&amp;A107&amp;" + "&amp;"Ln"&amp;A111</f>
        <v>Ln80 + Ln85 + Ln89</v>
      </c>
      <c r="D112" s="133">
        <f>D102+D107+D111</f>
        <v>2308694.6699999995</v>
      </c>
    </row>
    <row r="113" spans="1:27" ht="12.75" customHeight="1">
      <c r="A113" s="129"/>
      <c r="B113" s="131"/>
      <c r="D113" s="133"/>
    </row>
    <row r="114" spans="1:27" ht="12.75" customHeight="1">
      <c r="A114" s="129">
        <f>A112+1</f>
        <v>91</v>
      </c>
      <c r="B114" s="123" t="s">
        <v>409</v>
      </c>
      <c r="C114" s="122"/>
      <c r="D114" s="133"/>
    </row>
    <row r="115" spans="1:27" ht="12.75" customHeight="1">
      <c r="A115" s="129">
        <f t="shared" ref="A115:A119" si="3">A114+1</f>
        <v>92</v>
      </c>
      <c r="B115" s="134" t="s">
        <v>410</v>
      </c>
      <c r="C115" s="131" t="s">
        <v>687</v>
      </c>
      <c r="D115" s="133">
        <v>814852</v>
      </c>
    </row>
    <row r="116" spans="1:27" ht="12.75" customHeight="1">
      <c r="A116" s="129">
        <f t="shared" si="3"/>
        <v>93</v>
      </c>
      <c r="B116" s="132" t="s">
        <v>232</v>
      </c>
      <c r="C116" s="131" t="s">
        <v>686</v>
      </c>
      <c r="D116" s="137">
        <v>339852</v>
      </c>
    </row>
    <row r="117" spans="1:27" ht="12.75" customHeight="1">
      <c r="A117" s="129">
        <f t="shared" si="3"/>
        <v>94</v>
      </c>
      <c r="B117" s="138" t="s">
        <v>411</v>
      </c>
      <c r="C117" s="123" t="str">
        <f>"Sum (L"&amp;A115&amp;" - L"&amp;A116&amp;")"</f>
        <v>Sum (L92 - L93)</v>
      </c>
      <c r="D117" s="133">
        <f>SUM(D115:D116)</f>
        <v>1154704</v>
      </c>
    </row>
    <row r="118" spans="1:27" ht="12.75" customHeight="1">
      <c r="A118" s="129">
        <f t="shared" si="3"/>
        <v>95</v>
      </c>
      <c r="B118" s="140" t="s">
        <v>318</v>
      </c>
      <c r="C118" s="147">
        <v>356.1</v>
      </c>
      <c r="D118" s="136">
        <v>0</v>
      </c>
    </row>
    <row r="119" spans="1:27" ht="12.75" customHeight="1">
      <c r="A119" s="129">
        <f t="shared" si="3"/>
        <v>96</v>
      </c>
      <c r="B119" s="140" t="s">
        <v>412</v>
      </c>
      <c r="D119" s="136">
        <v>0</v>
      </c>
    </row>
    <row r="120" spans="1:27" ht="12.75" customHeight="1">
      <c r="A120" s="129"/>
      <c r="D120" s="136"/>
    </row>
    <row r="121" spans="1:27" ht="12.75" customHeight="1">
      <c r="A121" s="129">
        <f>A119+1</f>
        <v>97</v>
      </c>
      <c r="B121" s="131" t="s">
        <v>413</v>
      </c>
      <c r="D121" s="133"/>
    </row>
    <row r="122" spans="1:27" ht="12.75" customHeight="1">
      <c r="A122" s="129">
        <f>A121+1</f>
        <v>98</v>
      </c>
      <c r="B122" s="140" t="s">
        <v>42</v>
      </c>
      <c r="C122" s="123" t="s">
        <v>414</v>
      </c>
      <c r="D122" s="133">
        <v>18584612</v>
      </c>
    </row>
    <row r="123" spans="1:27" ht="3.9" customHeight="1">
      <c r="A123" s="129"/>
      <c r="B123" s="140"/>
      <c r="D123" s="133"/>
    </row>
    <row r="124" spans="1:27" ht="12.75" customHeight="1">
      <c r="A124" s="129">
        <f>A122+1</f>
        <v>99</v>
      </c>
      <c r="B124" s="134" t="s">
        <v>45</v>
      </c>
      <c r="C124" s="131" t="s">
        <v>415</v>
      </c>
      <c r="D124" s="133">
        <v>11830994</v>
      </c>
      <c r="E124" s="133"/>
      <c r="F124" s="136"/>
      <c r="G124" s="136"/>
      <c r="H124" s="133"/>
      <c r="I124" s="133"/>
      <c r="J124" s="133"/>
      <c r="K124" s="133"/>
      <c r="L124" s="133"/>
      <c r="M124" s="133"/>
      <c r="N124" s="133"/>
      <c r="O124" s="133"/>
      <c r="P124" s="133"/>
      <c r="Q124" s="133"/>
      <c r="R124" s="133"/>
      <c r="S124" s="133"/>
      <c r="T124" s="133"/>
      <c r="U124" s="133"/>
      <c r="V124" s="133"/>
      <c r="W124" s="133"/>
      <c r="X124" s="133"/>
      <c r="Y124" s="133"/>
      <c r="Z124" s="133"/>
      <c r="AA124" s="133"/>
    </row>
    <row r="125" spans="1:27" ht="12.75" customHeight="1">
      <c r="A125" s="129">
        <f>A124+1</f>
        <v>100</v>
      </c>
      <c r="B125" s="144" t="s">
        <v>381</v>
      </c>
      <c r="C125" s="123" t="s">
        <v>382</v>
      </c>
      <c r="D125" s="133">
        <f>+'WP 15'!H54*-1</f>
        <v>214430.53</v>
      </c>
      <c r="E125" s="133"/>
      <c r="F125" s="136"/>
      <c r="G125" s="133"/>
      <c r="H125" s="133"/>
      <c r="I125" s="133"/>
      <c r="J125" s="133"/>
      <c r="K125" s="133"/>
      <c r="L125" s="133"/>
      <c r="M125" s="133"/>
      <c r="N125" s="133"/>
      <c r="O125" s="133"/>
      <c r="P125" s="133"/>
      <c r="Q125" s="133"/>
      <c r="R125" s="133"/>
      <c r="S125" s="133"/>
      <c r="T125" s="133"/>
      <c r="U125" s="133"/>
      <c r="V125" s="133"/>
      <c r="W125" s="133"/>
      <c r="X125" s="133"/>
      <c r="Y125" s="133"/>
      <c r="Z125" s="133"/>
      <c r="AA125" s="133"/>
    </row>
    <row r="126" spans="1:27" ht="12.75" customHeight="1">
      <c r="A126" s="129">
        <f>A125+1</f>
        <v>101</v>
      </c>
      <c r="B126" s="144" t="s">
        <v>383</v>
      </c>
      <c r="C126" s="123" t="s">
        <v>384</v>
      </c>
      <c r="D126" s="137">
        <f>'WP 16'!F16</f>
        <v>259624.88999999998</v>
      </c>
      <c r="E126" s="133"/>
      <c r="F126" s="136"/>
      <c r="G126" s="133"/>
      <c r="H126" s="133"/>
      <c r="I126" s="133"/>
      <c r="J126" s="133"/>
      <c r="K126" s="133"/>
      <c r="L126" s="133"/>
      <c r="M126" s="133"/>
      <c r="N126" s="133"/>
      <c r="O126" s="133"/>
      <c r="P126" s="133"/>
      <c r="Q126" s="133"/>
      <c r="R126" s="133"/>
      <c r="S126" s="133"/>
      <c r="T126" s="133"/>
      <c r="U126" s="133"/>
      <c r="V126" s="133"/>
      <c r="W126" s="133"/>
      <c r="X126" s="133"/>
      <c r="Y126" s="133"/>
      <c r="Z126" s="133"/>
      <c r="AA126" s="133"/>
    </row>
    <row r="127" spans="1:27" ht="12.75" customHeight="1">
      <c r="A127" s="129">
        <f>A126+1</f>
        <v>102</v>
      </c>
      <c r="B127" s="134" t="s">
        <v>416</v>
      </c>
      <c r="C127" s="131" t="str">
        <f>"Ln"&amp;A124&amp;" - "&amp;"Ln"&amp;A125&amp;" - "&amp;"Ln"&amp;A126</f>
        <v>Ln99 - Ln100 - Ln101</v>
      </c>
      <c r="D127" s="133">
        <f>D124-D125-D126</f>
        <v>11356938.58</v>
      </c>
    </row>
    <row r="128" spans="1:27" ht="12.75" customHeight="1">
      <c r="A128" s="129">
        <f>A127+1</f>
        <v>103</v>
      </c>
      <c r="B128" s="134" t="s">
        <v>312</v>
      </c>
      <c r="C128" s="123" t="s">
        <v>417</v>
      </c>
      <c r="D128" s="137">
        <v>5749843</v>
      </c>
    </row>
    <row r="129" spans="1:27" ht="12.75" customHeight="1">
      <c r="A129" s="129">
        <f>A128+1</f>
        <v>104</v>
      </c>
      <c r="B129" s="138" t="s">
        <v>317</v>
      </c>
      <c r="C129" s="123" t="str">
        <f>"Ln"&amp;A127&amp;" + "&amp;"Ln"&amp;A128&amp;""</f>
        <v>Ln102 + Ln103</v>
      </c>
      <c r="D129" s="133">
        <f>SUM(D127:D128)</f>
        <v>17106781.579999998</v>
      </c>
    </row>
    <row r="130" spans="1:27" ht="3.9" customHeight="1">
      <c r="A130" s="129"/>
      <c r="B130" s="140"/>
      <c r="D130" s="133"/>
    </row>
    <row r="131" spans="1:27" ht="12.75" customHeight="1">
      <c r="A131" s="129">
        <f>A129+1</f>
        <v>105</v>
      </c>
      <c r="B131" s="140" t="s">
        <v>318</v>
      </c>
      <c r="C131" s="123" t="s">
        <v>418</v>
      </c>
      <c r="D131" s="133">
        <v>0</v>
      </c>
    </row>
    <row r="132" spans="1:27" ht="12.75" customHeight="1">
      <c r="A132" s="129"/>
      <c r="D132" s="133"/>
    </row>
    <row r="133" spans="1:27" ht="12.75" customHeight="1">
      <c r="A133" s="129">
        <f>A131+1</f>
        <v>106</v>
      </c>
      <c r="B133" s="145" t="s">
        <v>419</v>
      </c>
      <c r="C133" s="131"/>
      <c r="D133" s="133"/>
    </row>
    <row r="134" spans="1:27" ht="12.75" customHeight="1">
      <c r="A134" s="129">
        <f t="shared" ref="A134:A170" si="4">A133+1</f>
        <v>107</v>
      </c>
      <c r="B134" s="123" t="s">
        <v>420</v>
      </c>
      <c r="D134" s="133"/>
    </row>
    <row r="135" spans="1:27" ht="12.75" customHeight="1">
      <c r="A135" s="129">
        <f t="shared" si="4"/>
        <v>108</v>
      </c>
      <c r="B135" s="134" t="s">
        <v>181</v>
      </c>
      <c r="D135" s="133"/>
    </row>
    <row r="136" spans="1:27" ht="12.75" customHeight="1">
      <c r="A136" s="129">
        <f t="shared" si="4"/>
        <v>109</v>
      </c>
      <c r="B136" s="148" t="s">
        <v>421</v>
      </c>
      <c r="C136" s="123" t="s">
        <v>422</v>
      </c>
      <c r="D136" s="136">
        <f>'WP 12'!M9</f>
        <v>1837464</v>
      </c>
      <c r="F136" s="245"/>
      <c r="G136" s="245"/>
    </row>
    <row r="137" spans="1:27" ht="12.75" customHeight="1">
      <c r="A137" s="129">
        <f t="shared" si="4"/>
        <v>110</v>
      </c>
      <c r="B137" s="149" t="s">
        <v>423</v>
      </c>
      <c r="C137" s="123" t="s">
        <v>424</v>
      </c>
      <c r="D137" s="136">
        <v>2530714</v>
      </c>
      <c r="F137" s="245"/>
    </row>
    <row r="138" spans="1:27" ht="12.75" customHeight="1">
      <c r="A138" s="129">
        <f t="shared" si="4"/>
        <v>111</v>
      </c>
      <c r="B138" s="149" t="s">
        <v>669</v>
      </c>
      <c r="C138" s="123" t="s">
        <v>670</v>
      </c>
      <c r="D138" s="136">
        <v>17282</v>
      </c>
      <c r="F138" s="245"/>
    </row>
    <row r="139" spans="1:27" ht="12.75" customHeight="1">
      <c r="A139" s="129">
        <f t="shared" si="4"/>
        <v>112</v>
      </c>
      <c r="B139" s="149" t="s">
        <v>671</v>
      </c>
      <c r="C139" s="123" t="s">
        <v>672</v>
      </c>
      <c r="D139" s="136">
        <v>30806</v>
      </c>
      <c r="F139" s="245"/>
    </row>
    <row r="140" spans="1:27">
      <c r="A140" s="129">
        <f t="shared" si="4"/>
        <v>113</v>
      </c>
      <c r="B140" s="148" t="s">
        <v>381</v>
      </c>
      <c r="C140" s="123" t="s">
        <v>382</v>
      </c>
      <c r="D140" s="136">
        <f>'WP 15'!H55</f>
        <v>-110391.8599999999</v>
      </c>
      <c r="E140" s="146"/>
      <c r="F140" s="245"/>
      <c r="G140" s="136"/>
      <c r="H140" s="133"/>
      <c r="I140" s="133"/>
      <c r="J140" s="133"/>
      <c r="K140" s="133"/>
      <c r="L140" s="133"/>
      <c r="M140" s="133"/>
      <c r="N140" s="133"/>
      <c r="O140" s="133"/>
      <c r="P140" s="133"/>
      <c r="Q140" s="133"/>
      <c r="R140" s="133"/>
      <c r="S140" s="133"/>
      <c r="T140" s="133"/>
      <c r="U140" s="133"/>
      <c r="V140" s="133"/>
      <c r="W140" s="133"/>
      <c r="X140" s="133"/>
      <c r="Y140" s="133"/>
      <c r="Z140" s="133"/>
      <c r="AA140" s="133"/>
    </row>
    <row r="141" spans="1:27">
      <c r="A141" s="129">
        <f t="shared" si="4"/>
        <v>114</v>
      </c>
      <c r="B141" s="148" t="s">
        <v>383</v>
      </c>
      <c r="C141" s="123" t="s">
        <v>384</v>
      </c>
      <c r="D141" s="137">
        <f>'WP 16'!F18*-1</f>
        <v>-106935.89000000001</v>
      </c>
      <c r="E141" s="146"/>
      <c r="F141" s="245"/>
      <c r="G141" s="136"/>
      <c r="H141" s="133"/>
      <c r="I141" s="133"/>
      <c r="J141" s="133"/>
      <c r="K141" s="133"/>
      <c r="L141" s="133"/>
      <c r="M141" s="133"/>
      <c r="N141" s="133"/>
      <c r="O141" s="133"/>
      <c r="P141" s="133"/>
      <c r="Q141" s="133"/>
      <c r="R141" s="133"/>
      <c r="S141" s="133"/>
      <c r="T141" s="133"/>
      <c r="U141" s="133"/>
      <c r="V141" s="133"/>
      <c r="W141" s="133"/>
      <c r="X141" s="133"/>
      <c r="Y141" s="133"/>
      <c r="Z141" s="133"/>
      <c r="AA141" s="133"/>
    </row>
    <row r="142" spans="1:27" ht="12.75" customHeight="1">
      <c r="A142" s="129">
        <f t="shared" si="4"/>
        <v>115</v>
      </c>
      <c r="B142" s="140" t="s">
        <v>425</v>
      </c>
      <c r="C142" s="123" t="str">
        <f>"Sum (L"&amp;A136&amp;" - L"&amp;A141&amp;")"</f>
        <v>Sum (L109 - L114)</v>
      </c>
      <c r="D142" s="133">
        <f>SUM(D136:D141)</f>
        <v>4198938.25</v>
      </c>
      <c r="F142" s="245"/>
    </row>
    <row r="143" spans="1:27" ht="12.75" customHeight="1">
      <c r="A143" s="129">
        <f t="shared" si="4"/>
        <v>116</v>
      </c>
      <c r="B143" s="140" t="s">
        <v>426</v>
      </c>
      <c r="C143" s="123" t="s">
        <v>427</v>
      </c>
      <c r="D143" s="136">
        <v>0</v>
      </c>
      <c r="F143" s="245"/>
    </row>
    <row r="144" spans="1:27" ht="12.75" customHeight="1">
      <c r="A144" s="129">
        <f t="shared" si="4"/>
        <v>117</v>
      </c>
      <c r="B144" s="123" t="s">
        <v>428</v>
      </c>
      <c r="D144" s="133"/>
      <c r="F144" s="245"/>
    </row>
    <row r="145" spans="1:6" ht="12.75" customHeight="1">
      <c r="A145" s="129">
        <f t="shared" si="4"/>
        <v>118</v>
      </c>
      <c r="B145" s="132" t="s">
        <v>429</v>
      </c>
      <c r="D145" s="133"/>
      <c r="F145" s="245"/>
    </row>
    <row r="146" spans="1:6" ht="12.75" customHeight="1">
      <c r="A146" s="129">
        <f t="shared" si="4"/>
        <v>119</v>
      </c>
      <c r="B146" s="149" t="s">
        <v>657</v>
      </c>
      <c r="C146" s="123" t="s">
        <v>422</v>
      </c>
      <c r="D146" s="133">
        <f>'WP 12'!M12</f>
        <v>357416.18000000005</v>
      </c>
      <c r="F146" s="245"/>
    </row>
    <row r="147" spans="1:6" ht="12.75" customHeight="1">
      <c r="A147" s="129">
        <f t="shared" si="4"/>
        <v>120</v>
      </c>
      <c r="B147" s="149" t="s">
        <v>430</v>
      </c>
      <c r="C147" s="131" t="s">
        <v>435</v>
      </c>
      <c r="D147" s="133">
        <v>2365970</v>
      </c>
      <c r="F147" s="245"/>
    </row>
    <row r="148" spans="1:6" ht="12.75" customHeight="1">
      <c r="A148" s="129">
        <f t="shared" si="4"/>
        <v>121</v>
      </c>
      <c r="B148" s="149" t="s">
        <v>431</v>
      </c>
      <c r="C148" s="131" t="s">
        <v>448</v>
      </c>
      <c r="D148" s="137">
        <v>23669955</v>
      </c>
      <c r="F148" s="245"/>
    </row>
    <row r="149" spans="1:6" ht="12.75" customHeight="1">
      <c r="A149" s="129">
        <f t="shared" si="4"/>
        <v>122</v>
      </c>
      <c r="B149" s="140" t="s">
        <v>432</v>
      </c>
      <c r="C149" s="131" t="str">
        <f>"Ln"&amp;A146&amp;" + "&amp;"Ln"&amp;A147&amp;" + "&amp;"Ln"&amp;A148</f>
        <v>Ln119 + Ln120 + Ln121</v>
      </c>
      <c r="D149" s="133">
        <f>D147+D148+D146</f>
        <v>26393341.18</v>
      </c>
      <c r="F149" s="245"/>
    </row>
    <row r="150" spans="1:6" ht="12.75" customHeight="1">
      <c r="A150" s="129">
        <f t="shared" si="4"/>
        <v>123</v>
      </c>
      <c r="B150" s="132" t="s">
        <v>433</v>
      </c>
      <c r="D150" s="133"/>
      <c r="F150" s="245"/>
    </row>
    <row r="151" spans="1:6" ht="12.75" customHeight="1">
      <c r="A151" s="129">
        <f t="shared" si="4"/>
        <v>124</v>
      </c>
      <c r="B151" s="149" t="s">
        <v>434</v>
      </c>
      <c r="C151" s="131" t="s">
        <v>450</v>
      </c>
      <c r="D151" s="133">
        <v>9635654</v>
      </c>
      <c r="F151" s="245"/>
    </row>
    <row r="152" spans="1:6" ht="12.75" customHeight="1">
      <c r="A152" s="129">
        <f t="shared" si="4"/>
        <v>125</v>
      </c>
      <c r="B152" s="149" t="s">
        <v>436</v>
      </c>
      <c r="C152" s="131" t="s">
        <v>575</v>
      </c>
      <c r="D152" s="137">
        <v>0</v>
      </c>
      <c r="F152" s="245"/>
    </row>
    <row r="153" spans="1:6" ht="12.75" customHeight="1">
      <c r="A153" s="129">
        <f t="shared" si="4"/>
        <v>126</v>
      </c>
      <c r="B153" s="140" t="s">
        <v>438</v>
      </c>
      <c r="C153" s="123" t="str">
        <f>"Ln"&amp;A151&amp;" + "&amp;"Ln"&amp;A152&amp;""</f>
        <v>Ln124 + Ln125</v>
      </c>
      <c r="D153" s="133">
        <f>D151+D152</f>
        <v>9635654</v>
      </c>
      <c r="F153" s="245"/>
    </row>
    <row r="154" spans="1:6" ht="12.75" customHeight="1">
      <c r="A154" s="129">
        <f t="shared" si="4"/>
        <v>127</v>
      </c>
      <c r="B154" s="132" t="s">
        <v>439</v>
      </c>
      <c r="C154" s="122"/>
      <c r="D154" s="133"/>
      <c r="F154" s="245"/>
    </row>
    <row r="155" spans="1:6" ht="12.75" customHeight="1">
      <c r="A155" s="129">
        <f t="shared" si="4"/>
        <v>128</v>
      </c>
      <c r="B155" s="149" t="s">
        <v>440</v>
      </c>
      <c r="C155" s="145" t="s">
        <v>422</v>
      </c>
      <c r="D155" s="133">
        <f>'WP 12'!M10</f>
        <v>29.52</v>
      </c>
      <c r="F155" s="245"/>
    </row>
    <row r="156" spans="1:6" ht="12.75" customHeight="1">
      <c r="A156" s="129">
        <f t="shared" si="4"/>
        <v>129</v>
      </c>
      <c r="B156" s="148" t="s">
        <v>441</v>
      </c>
      <c r="C156" s="145" t="s">
        <v>422</v>
      </c>
      <c r="D156" s="133">
        <f>'WP 12'!M11</f>
        <v>16.25</v>
      </c>
      <c r="F156" s="245"/>
    </row>
    <row r="157" spans="1:6" ht="12.75" customHeight="1">
      <c r="A157" s="129">
        <f t="shared" si="4"/>
        <v>130</v>
      </c>
      <c r="B157" s="149" t="s">
        <v>442</v>
      </c>
      <c r="C157" s="145" t="s">
        <v>422</v>
      </c>
      <c r="D157" s="133">
        <f>'WP 12'!M13</f>
        <v>33846.879999999997</v>
      </c>
      <c r="F157" s="245"/>
    </row>
    <row r="158" spans="1:6" ht="12.75" customHeight="1">
      <c r="A158" s="129">
        <f t="shared" si="4"/>
        <v>131</v>
      </c>
      <c r="B158" s="149" t="s">
        <v>443</v>
      </c>
      <c r="C158" s="123" t="s">
        <v>422</v>
      </c>
      <c r="D158" s="133">
        <f>'WP 12'!M14</f>
        <v>194.01000000000002</v>
      </c>
      <c r="F158" s="245"/>
    </row>
    <row r="159" spans="1:6" ht="12.75" customHeight="1">
      <c r="A159" s="129">
        <f t="shared" si="4"/>
        <v>132</v>
      </c>
      <c r="B159" s="149" t="s">
        <v>444</v>
      </c>
      <c r="C159" s="131" t="s">
        <v>427</v>
      </c>
      <c r="D159" s="133">
        <v>0</v>
      </c>
      <c r="F159" s="245"/>
    </row>
    <row r="160" spans="1:6" ht="12.75" customHeight="1">
      <c r="A160" s="129">
        <f t="shared" si="4"/>
        <v>133</v>
      </c>
      <c r="B160" s="149" t="s">
        <v>445</v>
      </c>
      <c r="C160" s="123" t="s">
        <v>446</v>
      </c>
      <c r="D160" s="133">
        <v>3930</v>
      </c>
      <c r="F160" s="245"/>
    </row>
    <row r="161" spans="1:6" ht="12.75" customHeight="1">
      <c r="A161" s="129">
        <f t="shared" si="4"/>
        <v>134</v>
      </c>
      <c r="B161" s="149" t="s">
        <v>659</v>
      </c>
      <c r="C161" s="131" t="s">
        <v>652</v>
      </c>
      <c r="D161" s="133">
        <v>0</v>
      </c>
      <c r="F161" s="245"/>
    </row>
    <row r="162" spans="1:6" ht="12.75" customHeight="1">
      <c r="A162" s="129">
        <f t="shared" si="4"/>
        <v>135</v>
      </c>
      <c r="B162" s="149" t="s">
        <v>658</v>
      </c>
      <c r="C162" s="131" t="s">
        <v>427</v>
      </c>
      <c r="D162" s="133">
        <v>0</v>
      </c>
      <c r="F162" s="245"/>
    </row>
    <row r="163" spans="1:6" ht="12.75" customHeight="1">
      <c r="A163" s="129">
        <f t="shared" si="4"/>
        <v>136</v>
      </c>
      <c r="B163" s="149" t="s">
        <v>674</v>
      </c>
      <c r="C163" s="131" t="s">
        <v>673</v>
      </c>
      <c r="D163" s="133">
        <v>86897</v>
      </c>
      <c r="F163" s="245"/>
    </row>
    <row r="164" spans="1:6" ht="12.75" customHeight="1">
      <c r="A164" s="129">
        <f t="shared" si="4"/>
        <v>137</v>
      </c>
      <c r="B164" s="149" t="s">
        <v>449</v>
      </c>
      <c r="C164" s="131" t="s">
        <v>453</v>
      </c>
      <c r="D164" s="133">
        <v>1846547</v>
      </c>
      <c r="F164" s="245"/>
    </row>
    <row r="165" spans="1:6" ht="12.75" customHeight="1">
      <c r="A165" s="129">
        <f t="shared" si="4"/>
        <v>138</v>
      </c>
      <c r="B165" s="149" t="s">
        <v>451</v>
      </c>
      <c r="C165" s="131" t="s">
        <v>455</v>
      </c>
      <c r="D165" s="133">
        <v>13958623</v>
      </c>
      <c r="F165" s="245"/>
    </row>
    <row r="166" spans="1:6" ht="12.75" customHeight="1">
      <c r="A166" s="129">
        <f t="shared" si="4"/>
        <v>139</v>
      </c>
      <c r="B166" s="149" t="s">
        <v>452</v>
      </c>
      <c r="C166" s="131" t="s">
        <v>437</v>
      </c>
      <c r="D166" s="136">
        <v>7779059</v>
      </c>
      <c r="F166" s="245"/>
    </row>
    <row r="167" spans="1:6" ht="12.75" customHeight="1">
      <c r="A167" s="129">
        <f t="shared" si="4"/>
        <v>140</v>
      </c>
      <c r="B167" s="149" t="s">
        <v>454</v>
      </c>
      <c r="C167" s="131" t="s">
        <v>457</v>
      </c>
      <c r="D167" s="136">
        <v>287230</v>
      </c>
      <c r="F167" s="245"/>
    </row>
    <row r="168" spans="1:6" ht="12.75" customHeight="1">
      <c r="A168" s="129">
        <f t="shared" si="4"/>
        <v>141</v>
      </c>
      <c r="B168" s="149" t="s">
        <v>456</v>
      </c>
      <c r="C168" s="131" t="s">
        <v>576</v>
      </c>
      <c r="D168" s="137">
        <v>-600000</v>
      </c>
      <c r="F168" s="245"/>
    </row>
    <row r="169" spans="1:6" ht="12.75" customHeight="1">
      <c r="A169" s="129">
        <f t="shared" si="4"/>
        <v>142</v>
      </c>
      <c r="B169" s="140" t="s">
        <v>458</v>
      </c>
      <c r="C169" s="123" t="str">
        <f>"Sum (Ln"&amp;A155&amp;" - Ln"&amp;A168&amp;")"</f>
        <v>Sum (Ln128 - Ln141)</v>
      </c>
      <c r="D169" s="133">
        <f>SUM(D155:D168)</f>
        <v>23396372.66</v>
      </c>
      <c r="F169" s="245"/>
    </row>
    <row r="170" spans="1:6" ht="12.75" customHeight="1">
      <c r="A170" s="129">
        <f t="shared" si="4"/>
        <v>143</v>
      </c>
      <c r="B170" s="140" t="s">
        <v>459</v>
      </c>
      <c r="C170" s="123" t="s">
        <v>427</v>
      </c>
      <c r="D170" s="133">
        <v>0</v>
      </c>
      <c r="F170" s="245"/>
    </row>
    <row r="171" spans="1:6" ht="12.75" customHeight="1">
      <c r="A171" s="129"/>
      <c r="B171" s="140"/>
      <c r="D171" s="133"/>
      <c r="F171" s="245"/>
    </row>
    <row r="172" spans="1:6" ht="12.75" customHeight="1">
      <c r="A172" s="129">
        <f>A170+1</f>
        <v>144</v>
      </c>
      <c r="B172" s="123" t="s">
        <v>106</v>
      </c>
      <c r="C172" s="122"/>
      <c r="D172" s="133"/>
      <c r="F172" s="245"/>
    </row>
    <row r="173" spans="1:6" ht="12.75" customHeight="1">
      <c r="A173" s="129">
        <f>A172+1</f>
        <v>145</v>
      </c>
      <c r="B173" s="132" t="s">
        <v>460</v>
      </c>
      <c r="C173" s="123" t="s">
        <v>461</v>
      </c>
      <c r="D173" s="133">
        <v>35836124</v>
      </c>
      <c r="F173" s="245"/>
    </row>
    <row r="174" spans="1:6" ht="12.75" customHeight="1">
      <c r="A174" s="129">
        <f>A173+1</f>
        <v>146</v>
      </c>
      <c r="B174" s="132" t="s">
        <v>462</v>
      </c>
      <c r="C174" s="123" t="s">
        <v>447</v>
      </c>
      <c r="D174" s="133">
        <v>-1660159</v>
      </c>
      <c r="F174" s="245"/>
    </row>
    <row r="175" spans="1:6" ht="12.75" customHeight="1">
      <c r="A175" s="129">
        <f>A174+1</f>
        <v>147</v>
      </c>
      <c r="B175" s="132" t="s">
        <v>48</v>
      </c>
      <c r="C175" s="131" t="s">
        <v>577</v>
      </c>
      <c r="D175" s="136">
        <v>5466883</v>
      </c>
      <c r="F175" s="245"/>
    </row>
    <row r="176" spans="1:6" ht="12.75" customHeight="1">
      <c r="A176" s="129">
        <f>A175+1</f>
        <v>148</v>
      </c>
      <c r="B176" s="132" t="s">
        <v>444</v>
      </c>
      <c r="C176" s="123" t="s">
        <v>463</v>
      </c>
      <c r="D176" s="133">
        <v>1470825</v>
      </c>
      <c r="F176" s="245"/>
    </row>
    <row r="177" spans="1:4" ht="12.75" customHeight="1">
      <c r="A177" s="129"/>
      <c r="B177" s="132"/>
      <c r="D177" s="133"/>
    </row>
    <row r="178" spans="1:4" ht="12.75" customHeight="1">
      <c r="A178" s="129">
        <f>A176+1</f>
        <v>149</v>
      </c>
      <c r="B178" s="138" t="s">
        <v>464</v>
      </c>
      <c r="C178" s="123" t="s">
        <v>465</v>
      </c>
      <c r="D178" s="133">
        <v>-1596095</v>
      </c>
    </row>
    <row r="179" spans="1:4" ht="12.75" customHeight="1">
      <c r="A179" s="129">
        <f>A178+1</f>
        <v>150</v>
      </c>
      <c r="B179" s="138" t="s">
        <v>466</v>
      </c>
      <c r="C179" s="131" t="s">
        <v>467</v>
      </c>
      <c r="D179" s="133">
        <f>'WP 5'!D32</f>
        <v>-128318</v>
      </c>
    </row>
    <row r="180" spans="1:4" ht="12.75" customHeight="1">
      <c r="A180" s="129">
        <f>A179+1</f>
        <v>151</v>
      </c>
      <c r="B180" s="138" t="s">
        <v>468</v>
      </c>
      <c r="C180" s="131" t="s">
        <v>467</v>
      </c>
      <c r="D180" s="133">
        <f>'WP 5'!D42</f>
        <v>3226083</v>
      </c>
    </row>
    <row r="181" spans="1:4" ht="12.75" customHeight="1">
      <c r="A181" s="129"/>
      <c r="D181" s="133"/>
    </row>
    <row r="182" spans="1:4" ht="12.75" customHeight="1">
      <c r="A182" s="129">
        <f>A180+1</f>
        <v>152</v>
      </c>
      <c r="B182" s="122" t="s">
        <v>469</v>
      </c>
      <c r="D182" s="133">
        <v>0</v>
      </c>
    </row>
    <row r="183" spans="1:4" ht="12.75" customHeight="1">
      <c r="A183" s="129">
        <f>A182+1</f>
        <v>153</v>
      </c>
      <c r="B183" s="122" t="s">
        <v>470</v>
      </c>
      <c r="D183" s="133">
        <v>0</v>
      </c>
    </row>
    <row r="184" spans="1:4" ht="12.75" customHeight="1">
      <c r="A184" s="129"/>
      <c r="B184" s="123"/>
      <c r="D184" s="133"/>
    </row>
    <row r="185" spans="1:4" ht="12.75" customHeight="1">
      <c r="A185" s="129">
        <f>A183+1</f>
        <v>154</v>
      </c>
      <c r="B185" s="138" t="s">
        <v>471</v>
      </c>
      <c r="C185" s="123" t="s">
        <v>472</v>
      </c>
      <c r="D185" s="133">
        <f>'WP 13'!E31</f>
        <v>1639338.4044358144</v>
      </c>
    </row>
    <row r="186" spans="1:4" ht="12.75" customHeight="1">
      <c r="A186" s="129"/>
      <c r="D186" s="133"/>
    </row>
    <row r="187" spans="1:4" ht="12.75" customHeight="1">
      <c r="A187" s="129">
        <f>A185+1</f>
        <v>155</v>
      </c>
      <c r="B187" s="145" t="s">
        <v>473</v>
      </c>
      <c r="D187" s="133"/>
    </row>
    <row r="188" spans="1:4" ht="12.75" customHeight="1">
      <c r="A188" s="129">
        <f>A187+1</f>
        <v>156</v>
      </c>
      <c r="B188" s="138" t="s">
        <v>474</v>
      </c>
      <c r="C188" s="131"/>
      <c r="D188" s="133">
        <v>0</v>
      </c>
    </row>
    <row r="189" spans="1:4" ht="12.75" customHeight="1">
      <c r="A189" s="129"/>
      <c r="D189" s="133"/>
    </row>
    <row r="190" spans="1:4" ht="12.75" customHeight="1">
      <c r="A190" s="129">
        <f>A188+1</f>
        <v>157</v>
      </c>
      <c r="B190" s="123" t="s">
        <v>475</v>
      </c>
      <c r="C190" s="131"/>
      <c r="D190" s="133"/>
    </row>
    <row r="191" spans="1:4" ht="12.75" customHeight="1">
      <c r="A191" s="129">
        <f>A190+1</f>
        <v>158</v>
      </c>
      <c r="B191" s="138" t="s">
        <v>476</v>
      </c>
      <c r="C191" s="131" t="s">
        <v>477</v>
      </c>
      <c r="D191" s="133">
        <f>'WP 6'!M8</f>
        <v>16015705.770000001</v>
      </c>
    </row>
    <row r="192" spans="1:4" ht="12.75" customHeight="1">
      <c r="A192" s="129"/>
      <c r="D192" s="133"/>
    </row>
    <row r="193" spans="1:27" ht="12.75" customHeight="1">
      <c r="A193" s="129">
        <f>A191+1</f>
        <v>159</v>
      </c>
      <c r="B193" s="145" t="s">
        <v>478</v>
      </c>
      <c r="C193" s="131"/>
      <c r="D193" s="133"/>
      <c r="F193" s="138"/>
      <c r="G193" s="123"/>
    </row>
    <row r="194" spans="1:27" ht="12.75" customHeight="1">
      <c r="A194" s="129">
        <f t="shared" ref="A194:A201" si="5">A193+1</f>
        <v>160</v>
      </c>
      <c r="B194" s="122" t="s">
        <v>479</v>
      </c>
      <c r="C194" s="123" t="s">
        <v>480</v>
      </c>
      <c r="D194" s="133">
        <v>225499</v>
      </c>
      <c r="H194" s="133"/>
    </row>
    <row r="195" spans="1:27">
      <c r="A195" s="129">
        <f t="shared" si="5"/>
        <v>161</v>
      </c>
      <c r="B195" s="132" t="s">
        <v>381</v>
      </c>
      <c r="C195" s="123" t="s">
        <v>382</v>
      </c>
      <c r="D195" s="133">
        <v>0</v>
      </c>
      <c r="E195" s="133"/>
      <c r="G195" s="123"/>
      <c r="H195" s="133"/>
      <c r="I195" s="133"/>
      <c r="J195" s="133"/>
      <c r="K195" s="133"/>
      <c r="L195" s="133"/>
      <c r="M195" s="133"/>
      <c r="N195" s="133"/>
      <c r="O195" s="133"/>
      <c r="P195" s="133"/>
      <c r="Q195" s="133"/>
      <c r="R195" s="133"/>
      <c r="S195" s="133"/>
      <c r="T195" s="133"/>
      <c r="U195" s="133"/>
      <c r="V195" s="133"/>
      <c r="W195" s="133"/>
      <c r="X195" s="133"/>
      <c r="Y195" s="133"/>
      <c r="Z195" s="133"/>
      <c r="AA195" s="133"/>
    </row>
    <row r="196" spans="1:27" ht="12.75" customHeight="1">
      <c r="A196" s="129">
        <f t="shared" si="5"/>
        <v>162</v>
      </c>
      <c r="B196" s="138" t="s">
        <v>481</v>
      </c>
      <c r="C196" s="131" t="s">
        <v>482</v>
      </c>
      <c r="D196" s="133">
        <v>1648209</v>
      </c>
    </row>
    <row r="197" spans="1:27">
      <c r="A197" s="129">
        <f t="shared" si="5"/>
        <v>163</v>
      </c>
      <c r="B197" s="132" t="s">
        <v>381</v>
      </c>
      <c r="C197" s="123" t="s">
        <v>382</v>
      </c>
      <c r="D197" s="133">
        <f>'WP 15'!H30</f>
        <v>-1410.94</v>
      </c>
      <c r="E197" s="133"/>
      <c r="F197" s="136"/>
      <c r="G197" s="133"/>
      <c r="H197" s="133"/>
      <c r="I197" s="133"/>
      <c r="J197" s="133"/>
      <c r="K197" s="133"/>
      <c r="L197" s="133"/>
      <c r="M197" s="133"/>
      <c r="N197" s="133"/>
      <c r="O197" s="133"/>
      <c r="P197" s="133"/>
      <c r="Q197" s="133"/>
      <c r="R197" s="133"/>
      <c r="S197" s="133"/>
      <c r="T197" s="133"/>
      <c r="U197" s="133"/>
      <c r="V197" s="133"/>
      <c r="W197" s="133"/>
      <c r="X197" s="133"/>
      <c r="Y197" s="133"/>
      <c r="Z197" s="133"/>
      <c r="AA197" s="133"/>
    </row>
    <row r="198" spans="1:27" ht="12.75" customHeight="1">
      <c r="A198" s="129">
        <f t="shared" si="5"/>
        <v>164</v>
      </c>
      <c r="B198" s="138" t="s">
        <v>483</v>
      </c>
      <c r="C198" s="131" t="s">
        <v>484</v>
      </c>
      <c r="D198" s="133">
        <v>594916</v>
      </c>
    </row>
    <row r="199" spans="1:27">
      <c r="A199" s="129">
        <f t="shared" si="5"/>
        <v>165</v>
      </c>
      <c r="B199" s="132" t="s">
        <v>381</v>
      </c>
      <c r="C199" s="123" t="s">
        <v>382</v>
      </c>
      <c r="D199" s="133">
        <f>'WP 15'!H31</f>
        <v>28.509999999999987</v>
      </c>
      <c r="E199" s="133"/>
      <c r="F199" s="136"/>
      <c r="G199" s="133"/>
      <c r="H199" s="133"/>
      <c r="I199" s="133"/>
      <c r="J199" s="133"/>
      <c r="K199" s="133"/>
      <c r="L199" s="133"/>
      <c r="M199" s="133"/>
      <c r="N199" s="133"/>
      <c r="O199" s="133"/>
      <c r="P199" s="133"/>
      <c r="Q199" s="133"/>
      <c r="R199" s="133"/>
      <c r="S199" s="133"/>
      <c r="T199" s="133"/>
      <c r="U199" s="133"/>
      <c r="V199" s="133"/>
      <c r="W199" s="133"/>
      <c r="X199" s="133"/>
      <c r="Y199" s="133"/>
      <c r="Z199" s="133"/>
      <c r="AA199" s="133"/>
    </row>
    <row r="200" spans="1:27" ht="12.75" customHeight="1">
      <c r="A200" s="129">
        <f t="shared" si="5"/>
        <v>166</v>
      </c>
      <c r="B200" s="138" t="s">
        <v>486</v>
      </c>
      <c r="C200" s="123" t="str">
        <f>"Sum (L"&amp;A194&amp;" - L"&amp;A200&amp;")"</f>
        <v>Sum (L160 - L166)</v>
      </c>
      <c r="D200" s="245">
        <f>SUM(D194:D199)</f>
        <v>2467241.5699999998</v>
      </c>
    </row>
    <row r="201" spans="1:27" ht="12.75" customHeight="1">
      <c r="A201" s="129">
        <f t="shared" si="5"/>
        <v>167</v>
      </c>
      <c r="B201" s="138" t="s">
        <v>485</v>
      </c>
      <c r="C201" s="123" t="s">
        <v>649</v>
      </c>
      <c r="D201" s="136">
        <f>+'WP 17'!H12</f>
        <v>5265.9730244059983</v>
      </c>
    </row>
    <row r="202" spans="1:27" ht="12.75" customHeight="1">
      <c r="A202" s="129"/>
    </row>
    <row r="203" spans="1:27" ht="12.75" customHeight="1">
      <c r="A203" s="129">
        <f>A201+1</f>
        <v>168</v>
      </c>
      <c r="B203" s="145" t="s">
        <v>487</v>
      </c>
      <c r="C203" s="131"/>
      <c r="D203" s="133"/>
    </row>
    <row r="204" spans="1:27" ht="12.75" customHeight="1">
      <c r="A204" s="129">
        <f t="shared" ref="A204:A209" si="6">A203+1</f>
        <v>169</v>
      </c>
      <c r="B204" s="132" t="s">
        <v>294</v>
      </c>
      <c r="C204" s="123" t="s">
        <v>488</v>
      </c>
      <c r="D204" s="133">
        <v>13067110</v>
      </c>
    </row>
    <row r="205" spans="1:27">
      <c r="A205" s="129">
        <f t="shared" si="6"/>
        <v>170</v>
      </c>
      <c r="B205" s="139" t="s">
        <v>381</v>
      </c>
      <c r="C205" s="123" t="s">
        <v>382</v>
      </c>
      <c r="D205" s="133">
        <f>-'WP 15'!C56</f>
        <v>-649583.10000000009</v>
      </c>
      <c r="E205" s="133"/>
      <c r="F205" s="136"/>
      <c r="G205" s="136"/>
      <c r="H205" s="133"/>
      <c r="I205" s="133"/>
      <c r="J205" s="133"/>
      <c r="K205" s="133"/>
      <c r="L205" s="133"/>
      <c r="M205" s="133"/>
      <c r="N205" s="133"/>
      <c r="O205" s="133"/>
      <c r="P205" s="133"/>
      <c r="Q205" s="133"/>
      <c r="R205" s="133"/>
      <c r="S205" s="133"/>
      <c r="T205" s="133"/>
      <c r="U205" s="133"/>
      <c r="V205" s="133"/>
      <c r="W205" s="133"/>
      <c r="X205" s="133"/>
      <c r="Y205" s="133"/>
      <c r="Z205" s="133"/>
      <c r="AA205" s="133"/>
    </row>
    <row r="206" spans="1:27">
      <c r="A206" s="129">
        <f t="shared" si="6"/>
        <v>171</v>
      </c>
      <c r="B206" s="144" t="s">
        <v>383</v>
      </c>
      <c r="C206" s="131" t="s">
        <v>384</v>
      </c>
      <c r="D206" s="133">
        <f>-'WP 16'!E30</f>
        <v>-17394.22</v>
      </c>
      <c r="E206" s="133"/>
      <c r="F206" s="136"/>
      <c r="G206" s="136"/>
      <c r="H206" s="133"/>
      <c r="I206" s="133"/>
      <c r="J206" s="133"/>
      <c r="K206" s="133"/>
      <c r="L206" s="133"/>
      <c r="M206" s="133"/>
      <c r="N206" s="133"/>
      <c r="O206" s="133"/>
      <c r="P206" s="133"/>
      <c r="Q206" s="133"/>
      <c r="R206" s="133"/>
      <c r="S206" s="133"/>
      <c r="T206" s="133"/>
      <c r="U206" s="133"/>
      <c r="V206" s="133"/>
      <c r="W206" s="133"/>
      <c r="X206" s="133"/>
      <c r="Y206" s="133"/>
      <c r="Z206" s="133"/>
      <c r="AA206" s="133"/>
    </row>
    <row r="207" spans="1:27" ht="12.75" customHeight="1">
      <c r="A207" s="129">
        <f t="shared" si="6"/>
        <v>172</v>
      </c>
      <c r="B207" s="134" t="s">
        <v>489</v>
      </c>
      <c r="C207" s="123" t="s">
        <v>490</v>
      </c>
      <c r="D207" s="133">
        <v>5391948</v>
      </c>
    </row>
    <row r="208" spans="1:27" ht="12.75" customHeight="1">
      <c r="A208" s="129">
        <f t="shared" si="6"/>
        <v>173</v>
      </c>
      <c r="B208" s="132" t="s">
        <v>491</v>
      </c>
      <c r="C208" s="123" t="s">
        <v>490</v>
      </c>
      <c r="D208" s="137">
        <v>0</v>
      </c>
    </row>
    <row r="209" spans="1:27" ht="12.75" customHeight="1">
      <c r="A209" s="129">
        <f t="shared" si="6"/>
        <v>174</v>
      </c>
      <c r="B209" s="138" t="s">
        <v>492</v>
      </c>
      <c r="C209" s="123" t="str">
        <f>"Sum (L"&amp;A204&amp;" - L"&amp;A208&amp;")"</f>
        <v>Sum (L169 - L173)</v>
      </c>
      <c r="D209" s="133">
        <f>SUM(D204:D208)</f>
        <v>17792080.68</v>
      </c>
    </row>
    <row r="210" spans="1:27" ht="3.9" customHeight="1">
      <c r="A210" s="129"/>
      <c r="B210" s="138"/>
      <c r="D210" s="133"/>
    </row>
    <row r="211" spans="1:27" ht="12.75" customHeight="1">
      <c r="A211" s="129">
        <f>A209+1</f>
        <v>175</v>
      </c>
      <c r="B211" s="132" t="s">
        <v>42</v>
      </c>
      <c r="C211" s="131" t="s">
        <v>493</v>
      </c>
      <c r="D211" s="133">
        <v>2246965</v>
      </c>
    </row>
    <row r="212" spans="1:27">
      <c r="A212" s="129">
        <f>A211+1</f>
        <v>176</v>
      </c>
      <c r="B212" s="139" t="s">
        <v>381</v>
      </c>
      <c r="C212" s="123" t="s">
        <v>382</v>
      </c>
      <c r="D212" s="133">
        <f>-'WP 15'!C57</f>
        <v>-190780.7999999999</v>
      </c>
      <c r="E212" s="133"/>
      <c r="F212" s="136"/>
      <c r="G212" s="136"/>
      <c r="H212" s="133"/>
      <c r="I212" s="133"/>
      <c r="J212" s="133"/>
      <c r="K212" s="133"/>
      <c r="L212" s="133"/>
      <c r="M212" s="133"/>
      <c r="N212" s="133"/>
      <c r="O212" s="133"/>
      <c r="P212" s="133"/>
      <c r="Q212" s="133"/>
      <c r="R212" s="133"/>
      <c r="S212" s="133"/>
      <c r="T212" s="133"/>
      <c r="U212" s="133"/>
      <c r="V212" s="133"/>
      <c r="W212" s="133"/>
      <c r="X212" s="133"/>
      <c r="Y212" s="133"/>
      <c r="Z212" s="133"/>
      <c r="AA212" s="133"/>
    </row>
    <row r="213" spans="1:27">
      <c r="A213" s="129">
        <f>A212+1</f>
        <v>177</v>
      </c>
      <c r="B213" s="144" t="s">
        <v>383</v>
      </c>
      <c r="C213" s="131" t="s">
        <v>384</v>
      </c>
      <c r="D213" s="133">
        <f>-'WP 16'!E38</f>
        <v>-262905.69000000006</v>
      </c>
      <c r="E213" s="133"/>
      <c r="F213" s="136"/>
      <c r="G213" s="136"/>
      <c r="H213" s="133"/>
      <c r="I213" s="133"/>
      <c r="J213" s="133"/>
      <c r="K213" s="133"/>
      <c r="L213" s="133"/>
      <c r="M213" s="133"/>
      <c r="N213" s="133"/>
      <c r="O213" s="133"/>
      <c r="P213" s="133"/>
      <c r="Q213" s="133"/>
      <c r="R213" s="133"/>
      <c r="S213" s="133"/>
      <c r="T213" s="133"/>
      <c r="U213" s="133"/>
      <c r="V213" s="133"/>
      <c r="W213" s="133"/>
      <c r="X213" s="133"/>
      <c r="Y213" s="133"/>
      <c r="Z213" s="133"/>
      <c r="AA213" s="133"/>
    </row>
    <row r="214" spans="1:27" ht="12.75" customHeight="1">
      <c r="A214" s="129">
        <f>A213+1</f>
        <v>178</v>
      </c>
      <c r="B214" s="134" t="s">
        <v>489</v>
      </c>
      <c r="C214" s="123" t="s">
        <v>490</v>
      </c>
      <c r="D214" s="137">
        <v>4680515</v>
      </c>
    </row>
    <row r="215" spans="1:27" ht="12.75" customHeight="1">
      <c r="A215" s="129">
        <f>A214+1</f>
        <v>179</v>
      </c>
      <c r="B215" s="140" t="s">
        <v>494</v>
      </c>
      <c r="C215" s="123" t="str">
        <f>"Sum (L"&amp;A211&amp;" - L"&amp;A214&amp;")"</f>
        <v>Sum (L175 - L178)</v>
      </c>
      <c r="D215" s="133">
        <f>SUM(D211:D214)</f>
        <v>6473793.5099999998</v>
      </c>
    </row>
    <row r="216" spans="1:27" ht="3.9" customHeight="1">
      <c r="A216" s="129"/>
      <c r="B216" s="140"/>
      <c r="D216" s="133"/>
    </row>
    <row r="217" spans="1:27" ht="12.75" customHeight="1">
      <c r="A217" s="129">
        <f>A215+1</f>
        <v>180</v>
      </c>
      <c r="B217" s="132" t="s">
        <v>43</v>
      </c>
      <c r="C217" s="131" t="s">
        <v>495</v>
      </c>
      <c r="D217" s="133">
        <v>11994666</v>
      </c>
    </row>
    <row r="218" spans="1:27">
      <c r="A218" s="129">
        <f>A217+1</f>
        <v>181</v>
      </c>
      <c r="B218" s="144" t="s">
        <v>383</v>
      </c>
      <c r="C218" s="131" t="s">
        <v>384</v>
      </c>
      <c r="D218" s="133">
        <f>-'WP 16'!E40</f>
        <v>-92572.19</v>
      </c>
      <c r="E218" s="133"/>
      <c r="F218" s="136"/>
      <c r="G218" s="136"/>
      <c r="H218" s="133"/>
      <c r="I218" s="133"/>
      <c r="J218" s="133"/>
      <c r="K218" s="133"/>
      <c r="L218" s="133"/>
      <c r="M218" s="133"/>
      <c r="N218" s="133"/>
      <c r="O218" s="133"/>
      <c r="P218" s="133"/>
      <c r="Q218" s="133"/>
      <c r="R218" s="133"/>
      <c r="S218" s="133"/>
      <c r="T218" s="133"/>
      <c r="U218" s="133"/>
      <c r="V218" s="133"/>
      <c r="W218" s="133"/>
      <c r="X218" s="133"/>
      <c r="Y218" s="133"/>
      <c r="Z218" s="133"/>
      <c r="AA218" s="133"/>
    </row>
    <row r="219" spans="1:27" ht="12.75" customHeight="1">
      <c r="A219" s="129">
        <f>A218+1</f>
        <v>182</v>
      </c>
      <c r="B219" s="134" t="s">
        <v>489</v>
      </c>
      <c r="C219" s="123" t="s">
        <v>490</v>
      </c>
      <c r="D219" s="137">
        <v>1245604</v>
      </c>
    </row>
    <row r="220" spans="1:27" ht="12.75" customHeight="1">
      <c r="A220" s="129">
        <f>A219+1</f>
        <v>183</v>
      </c>
      <c r="B220" s="140" t="s">
        <v>496</v>
      </c>
      <c r="C220" s="123" t="str">
        <f>"Sum (L"&amp;A217&amp;" - L"&amp;A219&amp;")"</f>
        <v>Sum (L180 - L182)</v>
      </c>
      <c r="D220" s="133">
        <f>SUM(D217:D219)</f>
        <v>13147697.810000001</v>
      </c>
    </row>
    <row r="221" spans="1:27" ht="3.9" customHeight="1">
      <c r="A221" s="129"/>
      <c r="B221" s="140"/>
      <c r="C221" s="131"/>
      <c r="D221" s="133"/>
    </row>
    <row r="222" spans="1:27" ht="12.75" customHeight="1">
      <c r="A222" s="129">
        <f>A220+1</f>
        <v>184</v>
      </c>
      <c r="B222" s="132" t="s">
        <v>192</v>
      </c>
      <c r="C222" s="131" t="s">
        <v>497</v>
      </c>
      <c r="D222" s="136">
        <v>2177902</v>
      </c>
    </row>
    <row r="223" spans="1:27">
      <c r="A223" s="129">
        <f t="shared" ref="A223:A231" si="7">A222+1</f>
        <v>185</v>
      </c>
      <c r="B223" s="139" t="s">
        <v>381</v>
      </c>
      <c r="C223" s="123" t="s">
        <v>382</v>
      </c>
      <c r="D223" s="136">
        <f>-'WP 15'!C58</f>
        <v>-31.400000000000013</v>
      </c>
      <c r="E223" s="133"/>
      <c r="F223" s="136"/>
      <c r="G223" s="136"/>
      <c r="H223" s="133"/>
      <c r="I223" s="133"/>
      <c r="J223" s="133"/>
      <c r="K223" s="133"/>
      <c r="L223" s="133"/>
      <c r="M223" s="133"/>
      <c r="N223" s="133"/>
      <c r="O223" s="133"/>
      <c r="P223" s="133"/>
      <c r="Q223" s="133"/>
      <c r="R223" s="133"/>
      <c r="S223" s="133"/>
      <c r="T223" s="133"/>
      <c r="U223" s="133"/>
      <c r="V223" s="133"/>
      <c r="W223" s="133"/>
      <c r="X223" s="133"/>
      <c r="Y223" s="133"/>
      <c r="Z223" s="133"/>
      <c r="AA223" s="133"/>
    </row>
    <row r="224" spans="1:27" ht="12.75" customHeight="1">
      <c r="A224" s="129">
        <f t="shared" si="7"/>
        <v>186</v>
      </c>
      <c r="B224" s="134" t="s">
        <v>498</v>
      </c>
      <c r="C224" s="123" t="s">
        <v>490</v>
      </c>
      <c r="D224" s="136">
        <v>3217098</v>
      </c>
    </row>
    <row r="225" spans="1:27" ht="12.75" customHeight="1">
      <c r="A225" s="129">
        <f t="shared" si="7"/>
        <v>187</v>
      </c>
      <c r="B225" s="132" t="s">
        <v>499</v>
      </c>
      <c r="C225" s="131" t="s">
        <v>500</v>
      </c>
      <c r="D225" s="136">
        <v>3991712</v>
      </c>
    </row>
    <row r="226" spans="1:27">
      <c r="A226" s="129">
        <f t="shared" si="7"/>
        <v>188</v>
      </c>
      <c r="B226" s="139" t="s">
        <v>381</v>
      </c>
      <c r="C226" s="123" t="s">
        <v>382</v>
      </c>
      <c r="D226" s="136">
        <f>-'WP 15'!C59</f>
        <v>-159.07999999999998</v>
      </c>
      <c r="E226" s="133"/>
      <c r="F226" s="136"/>
      <c r="G226" s="136"/>
      <c r="H226" s="133"/>
      <c r="I226" s="133"/>
      <c r="J226" s="133"/>
      <c r="K226" s="133"/>
      <c r="L226" s="133"/>
      <c r="M226" s="133"/>
      <c r="N226" s="133"/>
      <c r="O226" s="133"/>
      <c r="P226" s="133"/>
      <c r="Q226" s="133"/>
      <c r="R226" s="133"/>
      <c r="S226" s="133"/>
      <c r="T226" s="133"/>
      <c r="U226" s="133"/>
      <c r="V226" s="133"/>
      <c r="W226" s="133"/>
      <c r="X226" s="133"/>
      <c r="Y226" s="133"/>
      <c r="Z226" s="133"/>
      <c r="AA226" s="133"/>
    </row>
    <row r="227" spans="1:27">
      <c r="A227" s="129">
        <f t="shared" si="7"/>
        <v>189</v>
      </c>
      <c r="B227" s="144" t="s">
        <v>383</v>
      </c>
      <c r="C227" s="131" t="s">
        <v>384</v>
      </c>
      <c r="D227" s="136">
        <f>-'WP 16'!E41</f>
        <v>-5021.3999999999996</v>
      </c>
      <c r="E227" s="133"/>
      <c r="F227" s="136"/>
      <c r="G227" s="136"/>
      <c r="H227" s="133"/>
      <c r="I227" s="133"/>
      <c r="J227" s="133"/>
      <c r="K227" s="133"/>
      <c r="L227" s="133"/>
      <c r="M227" s="133"/>
      <c r="N227" s="133"/>
      <c r="O227" s="133"/>
      <c r="P227" s="133"/>
      <c r="Q227" s="133"/>
      <c r="R227" s="133"/>
      <c r="S227" s="133"/>
      <c r="T227" s="133"/>
      <c r="U227" s="133"/>
      <c r="V227" s="133"/>
      <c r="W227" s="133"/>
      <c r="X227" s="133"/>
      <c r="Y227" s="133"/>
      <c r="Z227" s="133"/>
      <c r="AA227" s="133"/>
    </row>
    <row r="228" spans="1:27" ht="12.75" customHeight="1">
      <c r="A228" s="129">
        <f t="shared" si="7"/>
        <v>190</v>
      </c>
      <c r="B228" s="134" t="s">
        <v>501</v>
      </c>
      <c r="C228" s="123" t="s">
        <v>490</v>
      </c>
      <c r="D228" s="136">
        <v>535488</v>
      </c>
    </row>
    <row r="229" spans="1:27" ht="12.75" customHeight="1">
      <c r="A229" s="129">
        <f t="shared" si="7"/>
        <v>191</v>
      </c>
      <c r="B229" s="132" t="s">
        <v>502</v>
      </c>
      <c r="C229" s="131" t="s">
        <v>503</v>
      </c>
      <c r="D229" s="136">
        <v>139</v>
      </c>
    </row>
    <row r="230" spans="1:27" ht="12.75" customHeight="1">
      <c r="A230" s="129">
        <f t="shared" si="7"/>
        <v>192</v>
      </c>
      <c r="B230" s="134" t="s">
        <v>504</v>
      </c>
      <c r="C230" s="123" t="s">
        <v>490</v>
      </c>
      <c r="D230" s="137">
        <v>109997</v>
      </c>
    </row>
    <row r="231" spans="1:27" ht="12.75" customHeight="1">
      <c r="A231" s="129">
        <f t="shared" si="7"/>
        <v>193</v>
      </c>
      <c r="B231" s="140" t="s">
        <v>458</v>
      </c>
      <c r="C231" s="123" t="str">
        <f>"Sum (L"&amp;A222&amp;" - L"&amp;A230&amp;")"</f>
        <v>Sum (L184 - L192)</v>
      </c>
      <c r="D231" s="136">
        <f>SUM(D222:D230)</f>
        <v>10027124.119999999</v>
      </c>
    </row>
    <row r="232" spans="1:27" ht="3.9" customHeight="1">
      <c r="A232" s="129"/>
      <c r="B232" s="140"/>
      <c r="C232" s="131"/>
      <c r="D232" s="136"/>
    </row>
    <row r="233" spans="1:27" ht="12.75" customHeight="1">
      <c r="A233" s="129">
        <f>A231+1</f>
        <v>194</v>
      </c>
      <c r="B233" s="132" t="s">
        <v>46</v>
      </c>
      <c r="C233" s="123" t="str">
        <f>"Ln"&amp;A209&amp;"+Ln"&amp;A215&amp;"+Ln"&amp;A220&amp;"+Ln"&amp;A231</f>
        <v>Ln174+Ln179+Ln183+Ln193</v>
      </c>
      <c r="D233" s="133">
        <f>D209+D215+D220+D231</f>
        <v>47440696.119999997</v>
      </c>
    </row>
    <row r="234" spans="1:27" ht="12.75" customHeight="1">
      <c r="A234" s="129"/>
      <c r="D234" s="133"/>
    </row>
    <row r="235" spans="1:27" ht="12.75" customHeight="1">
      <c r="A235" s="129">
        <f>A233+1</f>
        <v>195</v>
      </c>
      <c r="B235" s="131" t="s">
        <v>505</v>
      </c>
      <c r="D235" s="133"/>
    </row>
    <row r="236" spans="1:27" ht="12.75" customHeight="1">
      <c r="A236" s="129">
        <f>A235+1</f>
        <v>196</v>
      </c>
      <c r="B236" s="138" t="s">
        <v>506</v>
      </c>
      <c r="C236" s="123" t="s">
        <v>507</v>
      </c>
      <c r="D236" s="133">
        <v>3509648664</v>
      </c>
    </row>
    <row r="237" spans="1:27" ht="12.75" customHeight="1">
      <c r="A237" s="129">
        <f>A236+1</f>
        <v>197</v>
      </c>
      <c r="B237" s="138" t="s">
        <v>508</v>
      </c>
      <c r="C237" s="123" t="s">
        <v>509</v>
      </c>
      <c r="D237" s="133">
        <v>0</v>
      </c>
    </row>
    <row r="238" spans="1:27" ht="12.75" customHeight="1">
      <c r="A238" s="129">
        <f>A237+1</f>
        <v>198</v>
      </c>
      <c r="B238" s="138" t="s">
        <v>510</v>
      </c>
      <c r="C238" s="123" t="s">
        <v>511</v>
      </c>
      <c r="D238" s="133">
        <v>0</v>
      </c>
    </row>
    <row r="239" spans="1:27" ht="12.75" customHeight="1">
      <c r="A239" s="129"/>
      <c r="D239" s="133"/>
    </row>
    <row r="240" spans="1:27" ht="12.75" customHeight="1">
      <c r="A240" s="129">
        <f>A238+1</f>
        <v>199</v>
      </c>
      <c r="B240" s="123" t="s">
        <v>512</v>
      </c>
      <c r="D240" s="133"/>
    </row>
    <row r="241" spans="1:4" ht="12.75" customHeight="1">
      <c r="A241" s="129">
        <f t="shared" ref="A241:A248" si="8">A240+1</f>
        <v>200</v>
      </c>
      <c r="B241" s="123" t="s">
        <v>513</v>
      </c>
      <c r="D241" s="133"/>
    </row>
    <row r="242" spans="1:4" ht="12.75" customHeight="1">
      <c r="A242" s="129">
        <f t="shared" si="8"/>
        <v>201</v>
      </c>
      <c r="B242" s="132" t="s">
        <v>514</v>
      </c>
      <c r="C242" s="123" t="s">
        <v>515</v>
      </c>
      <c r="D242" s="133">
        <v>57940309</v>
      </c>
    </row>
    <row r="243" spans="1:4" ht="12.75" customHeight="1">
      <c r="A243" s="129">
        <f t="shared" si="8"/>
        <v>202</v>
      </c>
      <c r="B243" s="132" t="s">
        <v>516</v>
      </c>
      <c r="C243" s="123" t="s">
        <v>517</v>
      </c>
      <c r="D243" s="133">
        <v>1549732</v>
      </c>
    </row>
    <row r="244" spans="1:4" ht="12.75" customHeight="1">
      <c r="A244" s="129">
        <f t="shared" si="8"/>
        <v>203</v>
      </c>
      <c r="B244" s="132" t="s">
        <v>518</v>
      </c>
      <c r="C244" s="123" t="s">
        <v>519</v>
      </c>
      <c r="D244" s="133">
        <v>1446579</v>
      </c>
    </row>
    <row r="245" spans="1:4" ht="12.75" customHeight="1">
      <c r="A245" s="129">
        <f t="shared" si="8"/>
        <v>204</v>
      </c>
      <c r="B245" s="134" t="s">
        <v>520</v>
      </c>
      <c r="C245" s="123" t="s">
        <v>521</v>
      </c>
      <c r="D245" s="133">
        <v>0</v>
      </c>
    </row>
    <row r="246" spans="1:4" ht="12.75" customHeight="1">
      <c r="A246" s="129">
        <f t="shared" si="8"/>
        <v>205</v>
      </c>
      <c r="B246" s="134" t="s">
        <v>522</v>
      </c>
      <c r="C246" s="123" t="s">
        <v>523</v>
      </c>
      <c r="D246" s="133">
        <v>0</v>
      </c>
    </row>
    <row r="247" spans="1:4" ht="12.75" customHeight="1">
      <c r="A247" s="129">
        <f t="shared" si="8"/>
        <v>206</v>
      </c>
      <c r="B247" s="132" t="s">
        <v>524</v>
      </c>
      <c r="C247" s="123" t="s">
        <v>525</v>
      </c>
      <c r="D247" s="137">
        <v>40730</v>
      </c>
    </row>
    <row r="248" spans="1:4" ht="29.25" customHeight="1">
      <c r="A248" s="129">
        <f t="shared" si="8"/>
        <v>207</v>
      </c>
      <c r="B248" s="140" t="s">
        <v>526</v>
      </c>
      <c r="C248" s="150" t="str">
        <f>"Ln"&amp;A242&amp;" + "&amp;"Ln"&amp;A243&amp;" + "&amp;"Ln"&amp;A244&amp;" - "&amp;"Ln"&amp;A245&amp;" - "&amp;"Ln"&amp;A246&amp;" + "&amp;"Ln"&amp;A247</f>
        <v>Ln201 + Ln202 + Ln203 - Ln204 - Ln205 + Ln206</v>
      </c>
      <c r="D248" s="133">
        <f>D242+D243+D244-D245-D246+D247</f>
        <v>60977350</v>
      </c>
    </row>
    <row r="249" spans="1:4" ht="12.75" customHeight="1">
      <c r="A249" s="129"/>
      <c r="B249" s="140"/>
      <c r="C249" s="131"/>
      <c r="D249" s="133"/>
    </row>
    <row r="250" spans="1:4" ht="12.75" customHeight="1">
      <c r="A250" s="129">
        <f>A248+1</f>
        <v>208</v>
      </c>
      <c r="B250" s="138" t="s">
        <v>527</v>
      </c>
      <c r="C250" s="123" t="s">
        <v>528</v>
      </c>
      <c r="D250" s="133">
        <v>0</v>
      </c>
    </row>
    <row r="251" spans="1:4" ht="12.75" customHeight="1">
      <c r="A251" s="129"/>
      <c r="D251" s="133"/>
    </row>
    <row r="252" spans="1:4" ht="12.75" customHeight="1">
      <c r="A252" s="129">
        <f>A250+1</f>
        <v>209</v>
      </c>
      <c r="B252" s="122" t="s">
        <v>529</v>
      </c>
      <c r="C252" s="123" t="s">
        <v>530</v>
      </c>
      <c r="D252" s="133">
        <v>887026230</v>
      </c>
    </row>
    <row r="253" spans="1:4" ht="12.75" customHeight="1">
      <c r="A253" s="129">
        <f>A252+1</f>
        <v>210</v>
      </c>
      <c r="B253" s="138" t="s">
        <v>531</v>
      </c>
      <c r="C253" s="123" t="s">
        <v>532</v>
      </c>
      <c r="D253" s="133">
        <v>0</v>
      </c>
    </row>
    <row r="254" spans="1:4" ht="12.75" customHeight="1">
      <c r="A254" s="129">
        <f>A253+1</f>
        <v>211</v>
      </c>
      <c r="B254" s="138" t="s">
        <v>533</v>
      </c>
      <c r="C254" s="123" t="s">
        <v>534</v>
      </c>
      <c r="D254" s="133">
        <v>23232198</v>
      </c>
    </row>
    <row r="255" spans="1:4" ht="12.75" customHeight="1">
      <c r="A255" s="129"/>
      <c r="B255" s="138"/>
      <c r="D255" s="133"/>
    </row>
    <row r="256" spans="1:4" ht="12.75" customHeight="1">
      <c r="A256" s="129">
        <f>A254+1</f>
        <v>212</v>
      </c>
      <c r="B256" s="132" t="s">
        <v>535</v>
      </c>
      <c r="C256" s="123" t="s">
        <v>536</v>
      </c>
      <c r="D256" s="133">
        <v>925000000</v>
      </c>
    </row>
    <row r="257" spans="1:4" ht="12.75" customHeight="1">
      <c r="A257" s="129">
        <f>A256+1</f>
        <v>213</v>
      </c>
      <c r="B257" s="134" t="s">
        <v>537</v>
      </c>
      <c r="C257" s="123" t="s">
        <v>538</v>
      </c>
      <c r="D257" s="133">
        <v>0</v>
      </c>
    </row>
    <row r="258" spans="1:4" ht="12.75" customHeight="1">
      <c r="A258" s="129">
        <f>A257+1</f>
        <v>214</v>
      </c>
      <c r="B258" s="132" t="s">
        <v>539</v>
      </c>
      <c r="C258" s="131" t="s">
        <v>540</v>
      </c>
      <c r="D258" s="133">
        <v>0</v>
      </c>
    </row>
    <row r="259" spans="1:4" ht="12.75" customHeight="1">
      <c r="A259" s="129">
        <f>A258+1</f>
        <v>215</v>
      </c>
      <c r="B259" s="132" t="s">
        <v>541</v>
      </c>
      <c r="C259" s="123" t="s">
        <v>542</v>
      </c>
      <c r="D259" s="137">
        <v>4889868</v>
      </c>
    </row>
    <row r="260" spans="1:4" ht="28.5" customHeight="1">
      <c r="A260" s="129">
        <f>A259+1</f>
        <v>216</v>
      </c>
      <c r="B260" s="122" t="s">
        <v>543</v>
      </c>
      <c r="C260" s="151" t="str">
        <f>"Ln"&amp;A256&amp;" - "&amp;"Ln"&amp;A257&amp;" + "&amp;"Ln"&amp;A258&amp;" + "&amp;"Ln"&amp;A259</f>
        <v>Ln212 - Ln213 + Ln214 + Ln215</v>
      </c>
      <c r="D260" s="133">
        <f>D256-D257+D258+D259</f>
        <v>929889868</v>
      </c>
    </row>
    <row r="261" spans="1:4" ht="12.75" customHeight="1">
      <c r="A261" s="129"/>
    </row>
    <row r="262" spans="1:4" ht="12.75" customHeight="1">
      <c r="A262" s="129">
        <f>A260+1</f>
        <v>217</v>
      </c>
      <c r="B262" s="145" t="s">
        <v>544</v>
      </c>
      <c r="D262" s="133"/>
    </row>
    <row r="263" spans="1:4" ht="12.75" customHeight="1">
      <c r="A263" s="129">
        <f>A262+1</f>
        <v>218</v>
      </c>
      <c r="B263" s="122" t="s">
        <v>545</v>
      </c>
      <c r="C263" s="123" t="s">
        <v>546</v>
      </c>
      <c r="D263" s="133">
        <v>0</v>
      </c>
    </row>
    <row r="264" spans="1:4" ht="12.75" customHeight="1">
      <c r="A264" s="129">
        <f>A263+1</f>
        <v>219</v>
      </c>
      <c r="B264" s="122" t="s">
        <v>547</v>
      </c>
      <c r="C264" s="123" t="s">
        <v>546</v>
      </c>
      <c r="D264" s="133">
        <v>0</v>
      </c>
    </row>
    <row r="265" spans="1:4" ht="12.75" customHeight="1">
      <c r="A265" s="129"/>
      <c r="D265" s="133"/>
    </row>
    <row r="266" spans="1:4" ht="12.75" customHeight="1">
      <c r="A266" s="129">
        <f>A264+1</f>
        <v>220</v>
      </c>
      <c r="B266" s="145" t="s">
        <v>548</v>
      </c>
      <c r="D266" s="133"/>
    </row>
    <row r="267" spans="1:4" ht="12.75" customHeight="1">
      <c r="A267" s="129">
        <f>A266+1</f>
        <v>221</v>
      </c>
      <c r="B267" s="123" t="s">
        <v>89</v>
      </c>
      <c r="C267" s="131"/>
      <c r="D267" s="133"/>
    </row>
    <row r="268" spans="1:4" ht="12.75" customHeight="1">
      <c r="A268" s="129">
        <f>A267+1</f>
        <v>222</v>
      </c>
      <c r="B268" s="140" t="s">
        <v>549</v>
      </c>
      <c r="C268" s="131" t="s">
        <v>550</v>
      </c>
      <c r="D268" s="133">
        <f>'WP 7'!E12</f>
        <v>162372.33000000002</v>
      </c>
    </row>
    <row r="269" spans="1:4" ht="6.75" customHeight="1">
      <c r="A269" s="129"/>
      <c r="D269" s="133"/>
    </row>
    <row r="270" spans="1:4" ht="12.75" customHeight="1">
      <c r="A270" s="129">
        <f>A268+1</f>
        <v>223</v>
      </c>
      <c r="B270" s="131" t="s">
        <v>704</v>
      </c>
      <c r="C270" s="131" t="s">
        <v>551</v>
      </c>
      <c r="D270" s="133">
        <f>'WP 8'!C5</f>
        <v>2261911.9200000004</v>
      </c>
    </row>
    <row r="271" spans="1:4" ht="12.75" customHeight="1">
      <c r="A271" s="129">
        <f>A270+1</f>
        <v>224</v>
      </c>
      <c r="B271" s="138" t="s">
        <v>552</v>
      </c>
      <c r="D271" s="133">
        <v>0</v>
      </c>
    </row>
    <row r="272" spans="1:4" ht="6" customHeight="1">
      <c r="A272" s="129"/>
      <c r="D272" s="133"/>
    </row>
    <row r="273" spans="1:4" ht="12.75" customHeight="1">
      <c r="A273" s="129">
        <f>A271+1</f>
        <v>225</v>
      </c>
      <c r="B273" s="138" t="s">
        <v>553</v>
      </c>
      <c r="D273" s="133">
        <v>0</v>
      </c>
    </row>
    <row r="274" spans="1:4" ht="12.75" customHeight="1">
      <c r="A274" s="129">
        <f>A273+1</f>
        <v>226</v>
      </c>
      <c r="B274" s="122" t="s">
        <v>554</v>
      </c>
      <c r="D274" s="133">
        <v>0</v>
      </c>
    </row>
    <row r="275" spans="1:4" ht="5.25" customHeight="1">
      <c r="A275" s="129"/>
      <c r="C275" s="131"/>
      <c r="D275" s="133"/>
    </row>
    <row r="276" spans="1:4" ht="12.75" customHeight="1">
      <c r="A276" s="129">
        <f>A274+1</f>
        <v>227</v>
      </c>
      <c r="B276" s="138" t="s">
        <v>555</v>
      </c>
      <c r="D276" s="133">
        <v>0</v>
      </c>
    </row>
    <row r="277" spans="1:4" ht="12.75" customHeight="1">
      <c r="A277" s="129">
        <f>A276+1</f>
        <v>228</v>
      </c>
      <c r="B277" s="138" t="s">
        <v>556</v>
      </c>
      <c r="D277" s="133">
        <v>0</v>
      </c>
    </row>
    <row r="278" spans="1:4" ht="6.75" customHeight="1">
      <c r="A278" s="129"/>
      <c r="B278" s="145"/>
      <c r="D278" s="133"/>
    </row>
    <row r="279" spans="1:4" ht="12.75" customHeight="1">
      <c r="A279" s="129">
        <f>A277+1</f>
        <v>229</v>
      </c>
      <c r="B279" s="138" t="s">
        <v>557</v>
      </c>
      <c r="D279" s="133">
        <v>0</v>
      </c>
    </row>
    <row r="280" spans="1:4" ht="12.75" customHeight="1">
      <c r="A280" s="129">
        <f>A279+1</f>
        <v>230</v>
      </c>
      <c r="B280" s="138" t="s">
        <v>558</v>
      </c>
      <c r="D280" s="133">
        <v>0</v>
      </c>
    </row>
    <row r="281" spans="1:4" ht="12.75" customHeight="1">
      <c r="A281" s="129"/>
      <c r="D281" s="133"/>
    </row>
    <row r="282" spans="1:4" ht="12.75" customHeight="1">
      <c r="A282" s="129">
        <f>A280+1</f>
        <v>231</v>
      </c>
      <c r="B282" s="145" t="s">
        <v>559</v>
      </c>
      <c r="D282" s="133"/>
    </row>
    <row r="283" spans="1:4" ht="12.75" customHeight="1">
      <c r="A283" s="129">
        <f t="shared" ref="A283:A289" si="9">A282+1</f>
        <v>232</v>
      </c>
      <c r="B283" s="122" t="s">
        <v>560</v>
      </c>
      <c r="C283" s="131" t="s">
        <v>561</v>
      </c>
      <c r="D283" s="133">
        <f>'WP 10'!M24</f>
        <v>3481182.9166666665</v>
      </c>
    </row>
    <row r="284" spans="1:4" ht="12.75" customHeight="1">
      <c r="A284" s="129">
        <f t="shared" si="9"/>
        <v>233</v>
      </c>
      <c r="B284" s="138" t="s">
        <v>562</v>
      </c>
    </row>
    <row r="285" spans="1:4" ht="12.75" customHeight="1">
      <c r="A285" s="129">
        <f t="shared" si="9"/>
        <v>234</v>
      </c>
      <c r="B285" s="138" t="s">
        <v>563</v>
      </c>
      <c r="D285" s="133"/>
    </row>
    <row r="286" spans="1:4" ht="12.75" customHeight="1">
      <c r="A286" s="129">
        <f t="shared" si="9"/>
        <v>235</v>
      </c>
      <c r="B286" s="138" t="s">
        <v>564</v>
      </c>
      <c r="D286" s="133"/>
    </row>
    <row r="287" spans="1:4" ht="12.75" customHeight="1">
      <c r="A287" s="129">
        <f t="shared" si="9"/>
        <v>236</v>
      </c>
      <c r="B287" s="122" t="s">
        <v>565</v>
      </c>
      <c r="D287" s="133"/>
    </row>
    <row r="288" spans="1:4" ht="12.75" customHeight="1">
      <c r="A288" s="129">
        <f t="shared" si="9"/>
        <v>237</v>
      </c>
      <c r="B288" s="138" t="s">
        <v>566</v>
      </c>
      <c r="D288" s="133"/>
    </row>
    <row r="289" spans="1:4" ht="12.75" customHeight="1">
      <c r="A289" s="129">
        <f t="shared" si="9"/>
        <v>238</v>
      </c>
      <c r="B289" s="138" t="s">
        <v>567</v>
      </c>
      <c r="D289" s="133"/>
    </row>
    <row r="290" spans="1:4" ht="12.75" customHeight="1">
      <c r="A290" s="129"/>
      <c r="D290" s="133"/>
    </row>
    <row r="291" spans="1:4" ht="12.75" customHeight="1">
      <c r="A291" s="129">
        <f>A289+1</f>
        <v>239</v>
      </c>
      <c r="B291" s="145" t="s">
        <v>568</v>
      </c>
      <c r="D291" s="133"/>
    </row>
    <row r="292" spans="1:4" ht="12.75" customHeight="1">
      <c r="A292" s="129">
        <f>A291+1</f>
        <v>240</v>
      </c>
      <c r="B292" s="140" t="s">
        <v>112</v>
      </c>
      <c r="C292" s="131" t="s">
        <v>569</v>
      </c>
      <c r="D292" s="211">
        <f>'WP 11'!D10</f>
        <v>0.35</v>
      </c>
    </row>
    <row r="293" spans="1:4" ht="12.75" customHeight="1">
      <c r="A293" s="129">
        <f>A292+1</f>
        <v>241</v>
      </c>
      <c r="B293" s="140" t="s">
        <v>113</v>
      </c>
      <c r="C293" s="131" t="s">
        <v>569</v>
      </c>
      <c r="D293" s="211">
        <f>'WP 11'!E10</f>
        <v>0</v>
      </c>
    </row>
    <row r="294" spans="1:4" ht="12.75" customHeight="1">
      <c r="A294" s="129">
        <f>A293+1</f>
        <v>242</v>
      </c>
      <c r="B294" s="140" t="s">
        <v>570</v>
      </c>
      <c r="C294" s="131" t="s">
        <v>569</v>
      </c>
      <c r="D294" s="211">
        <v>0</v>
      </c>
    </row>
    <row r="295" spans="1:4" ht="12.75" customHeight="1">
      <c r="A295" s="129"/>
      <c r="D295" s="133"/>
    </row>
    <row r="296" spans="1:4" ht="12.75" customHeight="1">
      <c r="A296" s="129">
        <f>A294+1</f>
        <v>243</v>
      </c>
      <c r="B296" s="152" t="s">
        <v>571</v>
      </c>
      <c r="D296" s="133"/>
    </row>
    <row r="297" spans="1:4" ht="12.75" customHeight="1">
      <c r="A297" s="129">
        <f>A296+1</f>
        <v>244</v>
      </c>
      <c r="B297" s="122" t="s">
        <v>572</v>
      </c>
      <c r="C297" s="123" t="s">
        <v>573</v>
      </c>
      <c r="D297" s="133">
        <f>'WP 14'!J34</f>
        <v>17303.825688215245</v>
      </c>
    </row>
    <row r="298" spans="1:4" ht="12.75" customHeight="1">
      <c r="A298" s="129">
        <f>A297+1</f>
        <v>245</v>
      </c>
      <c r="B298" s="122" t="s">
        <v>574</v>
      </c>
      <c r="C298" s="123" t="s">
        <v>573</v>
      </c>
      <c r="D298" s="133">
        <f>'WP 14'!J39</f>
        <v>127779.59888632721</v>
      </c>
    </row>
    <row r="299" spans="1:4" ht="12.75" customHeight="1"/>
    <row r="300" spans="1:4" ht="12.75" customHeight="1"/>
    <row r="301" spans="1:4" ht="12.75" customHeight="1"/>
    <row r="302" spans="1:4" ht="12.75" customHeight="1"/>
    <row r="303" spans="1:4" ht="12.75" customHeight="1"/>
    <row r="304" spans="1: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sheetData>
  <printOptions horizontalCentered="1"/>
  <pageMargins left="0.7" right="0.7" top="0.75" bottom="0.75" header="0.3" footer="0.3"/>
  <pageSetup scale="75" fitToHeight="5" orientation="portrait" r:id="rId1"/>
  <headerFooter>
    <oddFooter>&amp;C&amp;P of &amp;N&amp;RWP 1</oddFooter>
  </headerFooter>
  <rowBreaks count="4" manualBreakCount="4">
    <brk id="56" max="3" man="1"/>
    <brk id="113" max="3" man="1"/>
    <brk id="170" max="3" man="1"/>
    <brk id="234"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F268"/>
  <sheetViews>
    <sheetView zoomScale="85" zoomScaleNormal="85" workbookViewId="0">
      <pane ySplit="8" topLeftCell="A9" activePane="bottomLeft" state="frozenSplit"/>
      <selection pane="bottomLeft" sqref="A1:XFD1048576"/>
    </sheetView>
  </sheetViews>
  <sheetFormatPr defaultRowHeight="13.2"/>
  <cols>
    <col min="1" max="1" width="46.88671875" style="298" customWidth="1"/>
    <col min="2" max="2" width="13.6640625" style="298" bestFit="1" customWidth="1"/>
    <col min="3" max="3" width="11.6640625" style="298" bestFit="1" customWidth="1"/>
    <col min="4" max="5" width="13.109375" style="298" bestFit="1" customWidth="1"/>
    <col min="6" max="6" width="14.33203125" style="298" bestFit="1" customWidth="1"/>
    <col min="7" max="256" width="9.109375" style="298"/>
    <col min="257" max="257" width="46.88671875" style="298" customWidth="1"/>
    <col min="258" max="258" width="13.6640625" style="298" bestFit="1" customWidth="1"/>
    <col min="259" max="259" width="40.5546875" style="298" bestFit="1" customWidth="1"/>
    <col min="260" max="262" width="10.6640625" style="298" customWidth="1"/>
    <col min="263" max="512" width="9.109375" style="298"/>
    <col min="513" max="513" width="46.88671875" style="298" customWidth="1"/>
    <col min="514" max="514" width="13.6640625" style="298" bestFit="1" customWidth="1"/>
    <col min="515" max="515" width="40.5546875" style="298" bestFit="1" customWidth="1"/>
    <col min="516" max="518" width="10.6640625" style="298" customWidth="1"/>
    <col min="519" max="768" width="9.109375" style="298"/>
    <col min="769" max="769" width="46.88671875" style="298" customWidth="1"/>
    <col min="770" max="770" width="13.6640625" style="298" bestFit="1" customWidth="1"/>
    <col min="771" max="771" width="40.5546875" style="298" bestFit="1" customWidth="1"/>
    <col min="772" max="774" width="10.6640625" style="298" customWidth="1"/>
    <col min="775" max="1024" width="9.109375" style="298"/>
    <col min="1025" max="1025" width="46.88671875" style="298" customWidth="1"/>
    <col min="1026" max="1026" width="13.6640625" style="298" bestFit="1" customWidth="1"/>
    <col min="1027" max="1027" width="40.5546875" style="298" bestFit="1" customWidth="1"/>
    <col min="1028" max="1030" width="10.6640625" style="298" customWidth="1"/>
    <col min="1031" max="1280" width="9.109375" style="298"/>
    <col min="1281" max="1281" width="46.88671875" style="298" customWidth="1"/>
    <col min="1282" max="1282" width="13.6640625" style="298" bestFit="1" customWidth="1"/>
    <col min="1283" max="1283" width="40.5546875" style="298" bestFit="1" customWidth="1"/>
    <col min="1284" max="1286" width="10.6640625" style="298" customWidth="1"/>
    <col min="1287" max="1536" width="9.109375" style="298"/>
    <col min="1537" max="1537" width="46.88671875" style="298" customWidth="1"/>
    <col min="1538" max="1538" width="13.6640625" style="298" bestFit="1" customWidth="1"/>
    <col min="1539" max="1539" width="40.5546875" style="298" bestFit="1" customWidth="1"/>
    <col min="1540" max="1542" width="10.6640625" style="298" customWidth="1"/>
    <col min="1543" max="1792" width="9.109375" style="298"/>
    <col min="1793" max="1793" width="46.88671875" style="298" customWidth="1"/>
    <col min="1794" max="1794" width="13.6640625" style="298" bestFit="1" customWidth="1"/>
    <col min="1795" max="1795" width="40.5546875" style="298" bestFit="1" customWidth="1"/>
    <col min="1796" max="1798" width="10.6640625" style="298" customWidth="1"/>
    <col min="1799" max="2048" width="9.109375" style="298"/>
    <col min="2049" max="2049" width="46.88671875" style="298" customWidth="1"/>
    <col min="2050" max="2050" width="13.6640625" style="298" bestFit="1" customWidth="1"/>
    <col min="2051" max="2051" width="40.5546875" style="298" bestFit="1" customWidth="1"/>
    <col min="2052" max="2054" width="10.6640625" style="298" customWidth="1"/>
    <col min="2055" max="2304" width="9.109375" style="298"/>
    <col min="2305" max="2305" width="46.88671875" style="298" customWidth="1"/>
    <col min="2306" max="2306" width="13.6640625" style="298" bestFit="1" customWidth="1"/>
    <col min="2307" max="2307" width="40.5546875" style="298" bestFit="1" customWidth="1"/>
    <col min="2308" max="2310" width="10.6640625" style="298" customWidth="1"/>
    <col min="2311" max="2560" width="9.109375" style="298"/>
    <col min="2561" max="2561" width="46.88671875" style="298" customWidth="1"/>
    <col min="2562" max="2562" width="13.6640625" style="298" bestFit="1" customWidth="1"/>
    <col min="2563" max="2563" width="40.5546875" style="298" bestFit="1" customWidth="1"/>
    <col min="2564" max="2566" width="10.6640625" style="298" customWidth="1"/>
    <col min="2567" max="2816" width="9.109375" style="298"/>
    <col min="2817" max="2817" width="46.88671875" style="298" customWidth="1"/>
    <col min="2818" max="2818" width="13.6640625" style="298" bestFit="1" customWidth="1"/>
    <col min="2819" max="2819" width="40.5546875" style="298" bestFit="1" customWidth="1"/>
    <col min="2820" max="2822" width="10.6640625" style="298" customWidth="1"/>
    <col min="2823" max="3072" width="9.109375" style="298"/>
    <col min="3073" max="3073" width="46.88671875" style="298" customWidth="1"/>
    <col min="3074" max="3074" width="13.6640625" style="298" bestFit="1" customWidth="1"/>
    <col min="3075" max="3075" width="40.5546875" style="298" bestFit="1" customWidth="1"/>
    <col min="3076" max="3078" width="10.6640625" style="298" customWidth="1"/>
    <col min="3079" max="3328" width="9.109375" style="298"/>
    <col min="3329" max="3329" width="46.88671875" style="298" customWidth="1"/>
    <col min="3330" max="3330" width="13.6640625" style="298" bestFit="1" customWidth="1"/>
    <col min="3331" max="3331" width="40.5546875" style="298" bestFit="1" customWidth="1"/>
    <col min="3332" max="3334" width="10.6640625" style="298" customWidth="1"/>
    <col min="3335" max="3584" width="9.109375" style="298"/>
    <col min="3585" max="3585" width="46.88671875" style="298" customWidth="1"/>
    <col min="3586" max="3586" width="13.6640625" style="298" bestFit="1" customWidth="1"/>
    <col min="3587" max="3587" width="40.5546875" style="298" bestFit="1" customWidth="1"/>
    <col min="3588" max="3590" width="10.6640625" style="298" customWidth="1"/>
    <col min="3591" max="3840" width="9.109375" style="298"/>
    <col min="3841" max="3841" width="46.88671875" style="298" customWidth="1"/>
    <col min="3842" max="3842" width="13.6640625" style="298" bestFit="1" customWidth="1"/>
    <col min="3843" max="3843" width="40.5546875" style="298" bestFit="1" customWidth="1"/>
    <col min="3844" max="3846" width="10.6640625" style="298" customWidth="1"/>
    <col min="3847" max="4096" width="9.109375" style="298"/>
    <col min="4097" max="4097" width="46.88671875" style="298" customWidth="1"/>
    <col min="4098" max="4098" width="13.6640625" style="298" bestFit="1" customWidth="1"/>
    <col min="4099" max="4099" width="40.5546875" style="298" bestFit="1" customWidth="1"/>
    <col min="4100" max="4102" width="10.6640625" style="298" customWidth="1"/>
    <col min="4103" max="4352" width="9.109375" style="298"/>
    <col min="4353" max="4353" width="46.88671875" style="298" customWidth="1"/>
    <col min="4354" max="4354" width="13.6640625" style="298" bestFit="1" customWidth="1"/>
    <col min="4355" max="4355" width="40.5546875" style="298" bestFit="1" customWidth="1"/>
    <col min="4356" max="4358" width="10.6640625" style="298" customWidth="1"/>
    <col min="4359" max="4608" width="9.109375" style="298"/>
    <col min="4609" max="4609" width="46.88671875" style="298" customWidth="1"/>
    <col min="4610" max="4610" width="13.6640625" style="298" bestFit="1" customWidth="1"/>
    <col min="4611" max="4611" width="40.5546875" style="298" bestFit="1" customWidth="1"/>
    <col min="4612" max="4614" width="10.6640625" style="298" customWidth="1"/>
    <col min="4615" max="4864" width="9.109375" style="298"/>
    <col min="4865" max="4865" width="46.88671875" style="298" customWidth="1"/>
    <col min="4866" max="4866" width="13.6640625" style="298" bestFit="1" customWidth="1"/>
    <col min="4867" max="4867" width="40.5546875" style="298" bestFit="1" customWidth="1"/>
    <col min="4868" max="4870" width="10.6640625" style="298" customWidth="1"/>
    <col min="4871" max="5120" width="9.109375" style="298"/>
    <col min="5121" max="5121" width="46.88671875" style="298" customWidth="1"/>
    <col min="5122" max="5122" width="13.6640625" style="298" bestFit="1" customWidth="1"/>
    <col min="5123" max="5123" width="40.5546875" style="298" bestFit="1" customWidth="1"/>
    <col min="5124" max="5126" width="10.6640625" style="298" customWidth="1"/>
    <col min="5127" max="5376" width="9.109375" style="298"/>
    <col min="5377" max="5377" width="46.88671875" style="298" customWidth="1"/>
    <col min="5378" max="5378" width="13.6640625" style="298" bestFit="1" customWidth="1"/>
    <col min="5379" max="5379" width="40.5546875" style="298" bestFit="1" customWidth="1"/>
    <col min="5380" max="5382" width="10.6640625" style="298" customWidth="1"/>
    <col min="5383" max="5632" width="9.109375" style="298"/>
    <col min="5633" max="5633" width="46.88671875" style="298" customWidth="1"/>
    <col min="5634" max="5634" width="13.6640625" style="298" bestFit="1" customWidth="1"/>
    <col min="5635" max="5635" width="40.5546875" style="298" bestFit="1" customWidth="1"/>
    <col min="5636" max="5638" width="10.6640625" style="298" customWidth="1"/>
    <col min="5639" max="5888" width="9.109375" style="298"/>
    <col min="5889" max="5889" width="46.88671875" style="298" customWidth="1"/>
    <col min="5890" max="5890" width="13.6640625" style="298" bestFit="1" customWidth="1"/>
    <col min="5891" max="5891" width="40.5546875" style="298" bestFit="1" customWidth="1"/>
    <col min="5892" max="5894" width="10.6640625" style="298" customWidth="1"/>
    <col min="5895" max="6144" width="9.109375" style="298"/>
    <col min="6145" max="6145" width="46.88671875" style="298" customWidth="1"/>
    <col min="6146" max="6146" width="13.6640625" style="298" bestFit="1" customWidth="1"/>
    <col min="6147" max="6147" width="40.5546875" style="298" bestFit="1" customWidth="1"/>
    <col min="6148" max="6150" width="10.6640625" style="298" customWidth="1"/>
    <col min="6151" max="6400" width="9.109375" style="298"/>
    <col min="6401" max="6401" width="46.88671875" style="298" customWidth="1"/>
    <col min="6402" max="6402" width="13.6640625" style="298" bestFit="1" customWidth="1"/>
    <col min="6403" max="6403" width="40.5546875" style="298" bestFit="1" customWidth="1"/>
    <col min="6404" max="6406" width="10.6640625" style="298" customWidth="1"/>
    <col min="6407" max="6656" width="9.109375" style="298"/>
    <col min="6657" max="6657" width="46.88671875" style="298" customWidth="1"/>
    <col min="6658" max="6658" width="13.6640625" style="298" bestFit="1" customWidth="1"/>
    <col min="6659" max="6659" width="40.5546875" style="298" bestFit="1" customWidth="1"/>
    <col min="6660" max="6662" width="10.6640625" style="298" customWidth="1"/>
    <col min="6663" max="6912" width="9.109375" style="298"/>
    <col min="6913" max="6913" width="46.88671875" style="298" customWidth="1"/>
    <col min="6914" max="6914" width="13.6640625" style="298" bestFit="1" customWidth="1"/>
    <col min="6915" max="6915" width="40.5546875" style="298" bestFit="1" customWidth="1"/>
    <col min="6916" max="6918" width="10.6640625" style="298" customWidth="1"/>
    <col min="6919" max="7168" width="9.109375" style="298"/>
    <col min="7169" max="7169" width="46.88671875" style="298" customWidth="1"/>
    <col min="7170" max="7170" width="13.6640625" style="298" bestFit="1" customWidth="1"/>
    <col min="7171" max="7171" width="40.5546875" style="298" bestFit="1" customWidth="1"/>
    <col min="7172" max="7174" width="10.6640625" style="298" customWidth="1"/>
    <col min="7175" max="7424" width="9.109375" style="298"/>
    <col min="7425" max="7425" width="46.88671875" style="298" customWidth="1"/>
    <col min="7426" max="7426" width="13.6640625" style="298" bestFit="1" customWidth="1"/>
    <col min="7427" max="7427" width="40.5546875" style="298" bestFit="1" customWidth="1"/>
    <col min="7428" max="7430" width="10.6640625" style="298" customWidth="1"/>
    <col min="7431" max="7680" width="9.109375" style="298"/>
    <col min="7681" max="7681" width="46.88671875" style="298" customWidth="1"/>
    <col min="7682" max="7682" width="13.6640625" style="298" bestFit="1" customWidth="1"/>
    <col min="7683" max="7683" width="40.5546875" style="298" bestFit="1" customWidth="1"/>
    <col min="7684" max="7686" width="10.6640625" style="298" customWidth="1"/>
    <col min="7687" max="7936" width="9.109375" style="298"/>
    <col min="7937" max="7937" width="46.88671875" style="298" customWidth="1"/>
    <col min="7938" max="7938" width="13.6640625" style="298" bestFit="1" customWidth="1"/>
    <col min="7939" max="7939" width="40.5546875" style="298" bestFit="1" customWidth="1"/>
    <col min="7940" max="7942" width="10.6640625" style="298" customWidth="1"/>
    <col min="7943" max="8192" width="9.109375" style="298"/>
    <col min="8193" max="8193" width="46.88671875" style="298" customWidth="1"/>
    <col min="8194" max="8194" width="13.6640625" style="298" bestFit="1" customWidth="1"/>
    <col min="8195" max="8195" width="40.5546875" style="298" bestFit="1" customWidth="1"/>
    <col min="8196" max="8198" width="10.6640625" style="298" customWidth="1"/>
    <col min="8199" max="8448" width="9.109375" style="298"/>
    <col min="8449" max="8449" width="46.88671875" style="298" customWidth="1"/>
    <col min="8450" max="8450" width="13.6640625" style="298" bestFit="1" customWidth="1"/>
    <col min="8451" max="8451" width="40.5546875" style="298" bestFit="1" customWidth="1"/>
    <col min="8452" max="8454" width="10.6640625" style="298" customWidth="1"/>
    <col min="8455" max="8704" width="9.109375" style="298"/>
    <col min="8705" max="8705" width="46.88671875" style="298" customWidth="1"/>
    <col min="8706" max="8706" width="13.6640625" style="298" bestFit="1" customWidth="1"/>
    <col min="8707" max="8707" width="40.5546875" style="298" bestFit="1" customWidth="1"/>
    <col min="8708" max="8710" width="10.6640625" style="298" customWidth="1"/>
    <col min="8711" max="8960" width="9.109375" style="298"/>
    <col min="8961" max="8961" width="46.88671875" style="298" customWidth="1"/>
    <col min="8962" max="8962" width="13.6640625" style="298" bestFit="1" customWidth="1"/>
    <col min="8963" max="8963" width="40.5546875" style="298" bestFit="1" customWidth="1"/>
    <col min="8964" max="8966" width="10.6640625" style="298" customWidth="1"/>
    <col min="8967" max="9216" width="9.109375" style="298"/>
    <col min="9217" max="9217" width="46.88671875" style="298" customWidth="1"/>
    <col min="9218" max="9218" width="13.6640625" style="298" bestFit="1" customWidth="1"/>
    <col min="9219" max="9219" width="40.5546875" style="298" bestFit="1" customWidth="1"/>
    <col min="9220" max="9222" width="10.6640625" style="298" customWidth="1"/>
    <col min="9223" max="9472" width="9.109375" style="298"/>
    <col min="9473" max="9473" width="46.88671875" style="298" customWidth="1"/>
    <col min="9474" max="9474" width="13.6640625" style="298" bestFit="1" customWidth="1"/>
    <col min="9475" max="9475" width="40.5546875" style="298" bestFit="1" customWidth="1"/>
    <col min="9476" max="9478" width="10.6640625" style="298" customWidth="1"/>
    <col min="9479" max="9728" width="9.109375" style="298"/>
    <col min="9729" max="9729" width="46.88671875" style="298" customWidth="1"/>
    <col min="9730" max="9730" width="13.6640625" style="298" bestFit="1" customWidth="1"/>
    <col min="9731" max="9731" width="40.5546875" style="298" bestFit="1" customWidth="1"/>
    <col min="9732" max="9734" width="10.6640625" style="298" customWidth="1"/>
    <col min="9735" max="9984" width="9.109375" style="298"/>
    <col min="9985" max="9985" width="46.88671875" style="298" customWidth="1"/>
    <col min="9986" max="9986" width="13.6640625" style="298" bestFit="1" customWidth="1"/>
    <col min="9987" max="9987" width="40.5546875" style="298" bestFit="1" customWidth="1"/>
    <col min="9988" max="9990" width="10.6640625" style="298" customWidth="1"/>
    <col min="9991" max="10240" width="9.109375" style="298"/>
    <col min="10241" max="10241" width="46.88671875" style="298" customWidth="1"/>
    <col min="10242" max="10242" width="13.6640625" style="298" bestFit="1" customWidth="1"/>
    <col min="10243" max="10243" width="40.5546875" style="298" bestFit="1" customWidth="1"/>
    <col min="10244" max="10246" width="10.6640625" style="298" customWidth="1"/>
    <col min="10247" max="10496" width="9.109375" style="298"/>
    <col min="10497" max="10497" width="46.88671875" style="298" customWidth="1"/>
    <col min="10498" max="10498" width="13.6640625" style="298" bestFit="1" customWidth="1"/>
    <col min="10499" max="10499" width="40.5546875" style="298" bestFit="1" customWidth="1"/>
    <col min="10500" max="10502" width="10.6640625" style="298" customWidth="1"/>
    <col min="10503" max="10752" width="9.109375" style="298"/>
    <col min="10753" max="10753" width="46.88671875" style="298" customWidth="1"/>
    <col min="10754" max="10754" width="13.6640625" style="298" bestFit="1" customWidth="1"/>
    <col min="10755" max="10755" width="40.5546875" style="298" bestFit="1" customWidth="1"/>
    <col min="10756" max="10758" width="10.6640625" style="298" customWidth="1"/>
    <col min="10759" max="11008" width="9.109375" style="298"/>
    <col min="11009" max="11009" width="46.88671875" style="298" customWidth="1"/>
    <col min="11010" max="11010" width="13.6640625" style="298" bestFit="1" customWidth="1"/>
    <col min="11011" max="11011" width="40.5546875" style="298" bestFit="1" customWidth="1"/>
    <col min="11012" max="11014" width="10.6640625" style="298" customWidth="1"/>
    <col min="11015" max="11264" width="9.109375" style="298"/>
    <col min="11265" max="11265" width="46.88671875" style="298" customWidth="1"/>
    <col min="11266" max="11266" width="13.6640625" style="298" bestFit="1" customWidth="1"/>
    <col min="11267" max="11267" width="40.5546875" style="298" bestFit="1" customWidth="1"/>
    <col min="11268" max="11270" width="10.6640625" style="298" customWidth="1"/>
    <col min="11271" max="11520" width="9.109375" style="298"/>
    <col min="11521" max="11521" width="46.88671875" style="298" customWidth="1"/>
    <col min="11522" max="11522" width="13.6640625" style="298" bestFit="1" customWidth="1"/>
    <col min="11523" max="11523" width="40.5546875" style="298" bestFit="1" customWidth="1"/>
    <col min="11524" max="11526" width="10.6640625" style="298" customWidth="1"/>
    <col min="11527" max="11776" width="9.109375" style="298"/>
    <col min="11777" max="11777" width="46.88671875" style="298" customWidth="1"/>
    <col min="11778" max="11778" width="13.6640625" style="298" bestFit="1" customWidth="1"/>
    <col min="11779" max="11779" width="40.5546875" style="298" bestFit="1" customWidth="1"/>
    <col min="11780" max="11782" width="10.6640625" style="298" customWidth="1"/>
    <col min="11783" max="12032" width="9.109375" style="298"/>
    <col min="12033" max="12033" width="46.88671875" style="298" customWidth="1"/>
    <col min="12034" max="12034" width="13.6640625" style="298" bestFit="1" customWidth="1"/>
    <col min="12035" max="12035" width="40.5546875" style="298" bestFit="1" customWidth="1"/>
    <col min="12036" max="12038" width="10.6640625" style="298" customWidth="1"/>
    <col min="12039" max="12288" width="9.109375" style="298"/>
    <col min="12289" max="12289" width="46.88671875" style="298" customWidth="1"/>
    <col min="12290" max="12290" width="13.6640625" style="298" bestFit="1" customWidth="1"/>
    <col min="12291" max="12291" width="40.5546875" style="298" bestFit="1" customWidth="1"/>
    <col min="12292" max="12294" width="10.6640625" style="298" customWidth="1"/>
    <col min="12295" max="12544" width="9.109375" style="298"/>
    <col min="12545" max="12545" width="46.88671875" style="298" customWidth="1"/>
    <col min="12546" max="12546" width="13.6640625" style="298" bestFit="1" customWidth="1"/>
    <col min="12547" max="12547" width="40.5546875" style="298" bestFit="1" customWidth="1"/>
    <col min="12548" max="12550" width="10.6640625" style="298" customWidth="1"/>
    <col min="12551" max="12800" width="9.109375" style="298"/>
    <col min="12801" max="12801" width="46.88671875" style="298" customWidth="1"/>
    <col min="12802" max="12802" width="13.6640625" style="298" bestFit="1" customWidth="1"/>
    <col min="12803" max="12803" width="40.5546875" style="298" bestFit="1" customWidth="1"/>
    <col min="12804" max="12806" width="10.6640625" style="298" customWidth="1"/>
    <col min="12807" max="13056" width="9.109375" style="298"/>
    <col min="13057" max="13057" width="46.88671875" style="298" customWidth="1"/>
    <col min="13058" max="13058" width="13.6640625" style="298" bestFit="1" customWidth="1"/>
    <col min="13059" max="13059" width="40.5546875" style="298" bestFit="1" customWidth="1"/>
    <col min="13060" max="13062" width="10.6640625" style="298" customWidth="1"/>
    <col min="13063" max="13312" width="9.109375" style="298"/>
    <col min="13313" max="13313" width="46.88671875" style="298" customWidth="1"/>
    <col min="13314" max="13314" width="13.6640625" style="298" bestFit="1" customWidth="1"/>
    <col min="13315" max="13315" width="40.5546875" style="298" bestFit="1" customWidth="1"/>
    <col min="13316" max="13318" width="10.6640625" style="298" customWidth="1"/>
    <col min="13319" max="13568" width="9.109375" style="298"/>
    <col min="13569" max="13569" width="46.88671875" style="298" customWidth="1"/>
    <col min="13570" max="13570" width="13.6640625" style="298" bestFit="1" customWidth="1"/>
    <col min="13571" max="13571" width="40.5546875" style="298" bestFit="1" customWidth="1"/>
    <col min="13572" max="13574" width="10.6640625" style="298" customWidth="1"/>
    <col min="13575" max="13824" width="9.109375" style="298"/>
    <col min="13825" max="13825" width="46.88671875" style="298" customWidth="1"/>
    <col min="13826" max="13826" width="13.6640625" style="298" bestFit="1" customWidth="1"/>
    <col min="13827" max="13827" width="40.5546875" style="298" bestFit="1" customWidth="1"/>
    <col min="13828" max="13830" width="10.6640625" style="298" customWidth="1"/>
    <col min="13831" max="14080" width="9.109375" style="298"/>
    <col min="14081" max="14081" width="46.88671875" style="298" customWidth="1"/>
    <col min="14082" max="14082" width="13.6640625" style="298" bestFit="1" customWidth="1"/>
    <col min="14083" max="14083" width="40.5546875" style="298" bestFit="1" customWidth="1"/>
    <col min="14084" max="14086" width="10.6640625" style="298" customWidth="1"/>
    <col min="14087" max="14336" width="9.109375" style="298"/>
    <col min="14337" max="14337" width="46.88671875" style="298" customWidth="1"/>
    <col min="14338" max="14338" width="13.6640625" style="298" bestFit="1" customWidth="1"/>
    <col min="14339" max="14339" width="40.5546875" style="298" bestFit="1" customWidth="1"/>
    <col min="14340" max="14342" width="10.6640625" style="298" customWidth="1"/>
    <col min="14343" max="14592" width="9.109375" style="298"/>
    <col min="14593" max="14593" width="46.88671875" style="298" customWidth="1"/>
    <col min="14594" max="14594" width="13.6640625" style="298" bestFit="1" customWidth="1"/>
    <col min="14595" max="14595" width="40.5546875" style="298" bestFit="1" customWidth="1"/>
    <col min="14596" max="14598" width="10.6640625" style="298" customWidth="1"/>
    <col min="14599" max="14848" width="9.109375" style="298"/>
    <col min="14849" max="14849" width="46.88671875" style="298" customWidth="1"/>
    <col min="14850" max="14850" width="13.6640625" style="298" bestFit="1" customWidth="1"/>
    <col min="14851" max="14851" width="40.5546875" style="298" bestFit="1" customWidth="1"/>
    <col min="14852" max="14854" width="10.6640625" style="298" customWidth="1"/>
    <col min="14855" max="15104" width="9.109375" style="298"/>
    <col min="15105" max="15105" width="46.88671875" style="298" customWidth="1"/>
    <col min="15106" max="15106" width="13.6640625" style="298" bestFit="1" customWidth="1"/>
    <col min="15107" max="15107" width="40.5546875" style="298" bestFit="1" customWidth="1"/>
    <col min="15108" max="15110" width="10.6640625" style="298" customWidth="1"/>
    <col min="15111" max="15360" width="9.109375" style="298"/>
    <col min="15361" max="15361" width="46.88671875" style="298" customWidth="1"/>
    <col min="15362" max="15362" width="13.6640625" style="298" bestFit="1" customWidth="1"/>
    <col min="15363" max="15363" width="40.5546875" style="298" bestFit="1" customWidth="1"/>
    <col min="15364" max="15366" width="10.6640625" style="298" customWidth="1"/>
    <col min="15367" max="15616" width="9.109375" style="298"/>
    <col min="15617" max="15617" width="46.88671875" style="298" customWidth="1"/>
    <col min="15618" max="15618" width="13.6640625" style="298" bestFit="1" customWidth="1"/>
    <col min="15619" max="15619" width="40.5546875" style="298" bestFit="1" customWidth="1"/>
    <col min="15620" max="15622" width="10.6640625" style="298" customWidth="1"/>
    <col min="15623" max="15872" width="9.109375" style="298"/>
    <col min="15873" max="15873" width="46.88671875" style="298" customWidth="1"/>
    <col min="15874" max="15874" width="13.6640625" style="298" bestFit="1" customWidth="1"/>
    <col min="15875" max="15875" width="40.5546875" style="298" bestFit="1" customWidth="1"/>
    <col min="15876" max="15878" width="10.6640625" style="298" customWidth="1"/>
    <col min="15879" max="16128" width="9.109375" style="298"/>
    <col min="16129" max="16129" width="46.88671875" style="298" customWidth="1"/>
    <col min="16130" max="16130" width="13.6640625" style="298" bestFit="1" customWidth="1"/>
    <col min="16131" max="16131" width="40.5546875" style="298" bestFit="1" customWidth="1"/>
    <col min="16132" max="16134" width="10.6640625" style="298" customWidth="1"/>
    <col min="16135" max="16384" width="9.109375" style="298"/>
  </cols>
  <sheetData>
    <row r="1" spans="1:6">
      <c r="A1" s="453" t="str">
        <f>UPPER(D7)</f>
        <v>ENTERGY TEXAS, INC.</v>
      </c>
      <c r="B1" s="454"/>
      <c r="C1" s="454"/>
      <c r="D1" s="454"/>
      <c r="E1" s="454"/>
      <c r="F1" s="454"/>
    </row>
    <row r="2" spans="1:6">
      <c r="A2" s="454" t="s">
        <v>287</v>
      </c>
      <c r="B2" s="454"/>
      <c r="C2" s="454"/>
      <c r="D2" s="454"/>
      <c r="E2" s="454"/>
      <c r="F2" s="454"/>
    </row>
    <row r="3" spans="1:6">
      <c r="A3" s="454" t="s">
        <v>288</v>
      </c>
      <c r="B3" s="454"/>
      <c r="C3" s="454"/>
      <c r="D3" s="454"/>
      <c r="E3" s="454"/>
      <c r="F3" s="454"/>
    </row>
    <row r="4" spans="1:6">
      <c r="A4" s="454" t="s">
        <v>593</v>
      </c>
      <c r="B4" s="454"/>
      <c r="C4" s="454"/>
      <c r="D4" s="454"/>
      <c r="E4" s="454"/>
      <c r="F4" s="454"/>
    </row>
    <row r="5" spans="1:6">
      <c r="A5" s="454" t="s">
        <v>289</v>
      </c>
      <c r="B5" s="454"/>
      <c r="C5" s="454"/>
      <c r="D5" s="454"/>
      <c r="E5" s="454"/>
      <c r="F5" s="454"/>
    </row>
    <row r="7" spans="1:6">
      <c r="A7" s="299"/>
      <c r="B7" s="299"/>
      <c r="C7" s="299"/>
      <c r="D7" s="450" t="s">
        <v>0</v>
      </c>
      <c r="E7" s="451"/>
      <c r="F7" s="452"/>
    </row>
    <row r="8" spans="1:6" s="304" customFormat="1">
      <c r="A8" s="300" t="s">
        <v>197</v>
      </c>
      <c r="B8" s="300" t="s">
        <v>198</v>
      </c>
      <c r="C8" s="300" t="s">
        <v>156</v>
      </c>
      <c r="D8" s="301" t="s">
        <v>199</v>
      </c>
      <c r="E8" s="302" t="s">
        <v>181</v>
      </c>
      <c r="F8" s="303" t="s">
        <v>46</v>
      </c>
    </row>
    <row r="9" spans="1:6" s="309" customFormat="1">
      <c r="A9" s="305" t="s">
        <v>275</v>
      </c>
      <c r="B9" s="298"/>
      <c r="C9" s="298"/>
      <c r="D9" s="306"/>
      <c r="E9" s="307"/>
      <c r="F9" s="308"/>
    </row>
    <row r="10" spans="1:6" s="309" customFormat="1">
      <c r="A10" s="310"/>
      <c r="D10" s="311"/>
      <c r="E10" s="312"/>
      <c r="F10" s="313"/>
    </row>
    <row r="11" spans="1:6" s="309" customFormat="1">
      <c r="A11" s="305" t="s">
        <v>594</v>
      </c>
      <c r="B11" s="298"/>
      <c r="C11" s="298"/>
      <c r="D11" s="314">
        <f>SUM(D62:D71)/2</f>
        <v>-1812.46</v>
      </c>
      <c r="E11" s="314">
        <f>SUM(E62:E71)/2</f>
        <v>0</v>
      </c>
      <c r="F11" s="314">
        <f>SUM(F62:F71)/2</f>
        <v>-1812.46</v>
      </c>
    </row>
    <row r="12" spans="1:6" s="309" customFormat="1">
      <c r="A12" s="315" t="s">
        <v>200</v>
      </c>
      <c r="B12" s="316"/>
      <c r="C12" s="316"/>
      <c r="D12" s="317">
        <f>SUM(D95:D107)/2</f>
        <v>394.4</v>
      </c>
      <c r="E12" s="317">
        <f>SUM(E95:E107)/2</f>
        <v>0</v>
      </c>
      <c r="F12" s="317">
        <f>SUM(F95:F107)/2</f>
        <v>394.4</v>
      </c>
    </row>
    <row r="13" spans="1:6" s="309" customFormat="1">
      <c r="A13" s="305"/>
      <c r="B13" s="298"/>
      <c r="C13" s="298"/>
      <c r="D13" s="318"/>
      <c r="E13" s="318"/>
      <c r="F13" s="318"/>
    </row>
    <row r="14" spans="1:6" s="309" customFormat="1">
      <c r="A14" s="315"/>
      <c r="B14" s="316"/>
      <c r="C14" s="316"/>
      <c r="D14" s="319"/>
      <c r="E14" s="319"/>
      <c r="F14" s="319"/>
    </row>
    <row r="15" spans="1:6" s="309" customFormat="1">
      <c r="A15" s="320" t="s">
        <v>201</v>
      </c>
      <c r="B15" s="298"/>
      <c r="C15" s="298"/>
      <c r="D15" s="321"/>
      <c r="E15" s="321"/>
      <c r="F15" s="321"/>
    </row>
    <row r="16" spans="1:6" s="309" customFormat="1">
      <c r="A16" s="322" t="s">
        <v>202</v>
      </c>
      <c r="B16" s="316"/>
      <c r="C16" s="316"/>
      <c r="D16" s="317">
        <f>SUM(D72:D81)/2</f>
        <v>259624.88999999998</v>
      </c>
      <c r="E16" s="317">
        <f>SUM(E72:E81)/2</f>
        <v>0</v>
      </c>
      <c r="F16" s="317">
        <f>SUM(F72:F81)/2</f>
        <v>259624.88999999998</v>
      </c>
    </row>
    <row r="17" spans="1:6" s="309" customFormat="1">
      <c r="A17" s="323"/>
      <c r="B17" s="298"/>
      <c r="C17" s="298"/>
      <c r="D17" s="318"/>
      <c r="E17" s="318"/>
      <c r="F17" s="318"/>
    </row>
    <row r="18" spans="1:6" s="309" customFormat="1">
      <c r="A18" s="322" t="s">
        <v>203</v>
      </c>
      <c r="B18" s="316"/>
      <c r="C18" s="316"/>
      <c r="D18" s="317">
        <f>SUM(D82:D94)/2</f>
        <v>106935.89000000001</v>
      </c>
      <c r="E18" s="317">
        <f>SUM(E82:E94)/2</f>
        <v>0</v>
      </c>
      <c r="F18" s="317">
        <f>SUM(F82:F94)/2</f>
        <v>106935.89000000001</v>
      </c>
    </row>
    <row r="19" spans="1:6" s="309" customFormat="1">
      <c r="A19" s="323"/>
      <c r="B19" s="298"/>
      <c r="C19" s="298"/>
      <c r="D19" s="318"/>
      <c r="E19" s="318"/>
      <c r="F19" s="318"/>
    </row>
    <row r="20" spans="1:6" s="309" customFormat="1">
      <c r="A20" s="322" t="s">
        <v>204</v>
      </c>
      <c r="B20" s="316"/>
      <c r="C20" s="316"/>
      <c r="D20" s="317"/>
      <c r="E20" s="317"/>
      <c r="F20" s="317"/>
    </row>
    <row r="21" spans="1:6" s="309" customFormat="1">
      <c r="A21" s="323" t="s">
        <v>205</v>
      </c>
      <c r="B21" s="298"/>
      <c r="C21" s="298"/>
      <c r="D21" s="318"/>
      <c r="E21" s="318"/>
      <c r="F21" s="318"/>
    </row>
    <row r="22" spans="1:6" s="309" customFormat="1">
      <c r="A22" s="322" t="s">
        <v>276</v>
      </c>
      <c r="B22" s="316"/>
      <c r="C22" s="316"/>
      <c r="D22" s="317">
        <f>SUM(D108:D114)/2</f>
        <v>3454.87</v>
      </c>
      <c r="E22" s="317">
        <f>SUM(E108:E114)/2</f>
        <v>7434.2099999999991</v>
      </c>
      <c r="F22" s="317">
        <f>SUM(F108:F114)/2</f>
        <v>10889.080000000002</v>
      </c>
    </row>
    <row r="23" spans="1:6" s="309" customFormat="1">
      <c r="A23" s="323" t="s">
        <v>277</v>
      </c>
      <c r="B23" s="298"/>
      <c r="C23" s="298"/>
      <c r="D23" s="318">
        <f>SUM(D115:D120)/2</f>
        <v>12187.94</v>
      </c>
      <c r="E23" s="318">
        <f>SUM(E115:E120)/2</f>
        <v>0</v>
      </c>
      <c r="F23" s="318">
        <f>SUM(F115:F120)/2</f>
        <v>12187.94</v>
      </c>
    </row>
    <row r="24" spans="1:6" s="309" customFormat="1">
      <c r="A24" s="322" t="s">
        <v>278</v>
      </c>
      <c r="B24" s="316"/>
      <c r="C24" s="316"/>
      <c r="D24" s="317">
        <v>0</v>
      </c>
      <c r="E24" s="317">
        <v>0</v>
      </c>
      <c r="F24" s="317">
        <v>0</v>
      </c>
    </row>
    <row r="25" spans="1:6" s="309" customFormat="1">
      <c r="A25" s="323" t="s">
        <v>279</v>
      </c>
      <c r="B25" s="298"/>
      <c r="C25" s="298"/>
      <c r="D25" s="318">
        <f>SUM(D121:D125)/2</f>
        <v>3806.8200000000006</v>
      </c>
      <c r="E25" s="318">
        <f>SUM(E121:E125)/2</f>
        <v>9960.010000000002</v>
      </c>
      <c r="F25" s="318">
        <f>SUM(F121:F125)/2</f>
        <v>13766.829999999998</v>
      </c>
    </row>
    <row r="26" spans="1:6" s="309" customFormat="1">
      <c r="A26" s="322" t="s">
        <v>280</v>
      </c>
      <c r="B26" s="316"/>
      <c r="C26" s="316"/>
      <c r="D26" s="317">
        <f>SUM(D126:D129)/2</f>
        <v>0</v>
      </c>
      <c r="E26" s="317">
        <f>SUM(E126:E129)/2</f>
        <v>0</v>
      </c>
      <c r="F26" s="317">
        <f>SUM(F126:F129)/2</f>
        <v>0</v>
      </c>
    </row>
    <row r="27" spans="1:6" s="309" customFormat="1">
      <c r="A27" s="323" t="s">
        <v>595</v>
      </c>
      <c r="B27" s="298"/>
      <c r="C27" s="298"/>
      <c r="D27" s="318">
        <f>SUM(D130:D132)/2</f>
        <v>0</v>
      </c>
      <c r="E27" s="318">
        <f>SUM(E130:E132)/2</f>
        <v>0</v>
      </c>
      <c r="F27" s="318">
        <f>SUM(F130:F132)/2</f>
        <v>0</v>
      </c>
    </row>
    <row r="28" spans="1:6" s="309" customFormat="1">
      <c r="A28" s="322" t="s">
        <v>281</v>
      </c>
      <c r="B28" s="316"/>
      <c r="C28" s="316"/>
      <c r="D28" s="317">
        <f>SUM(D133:D136)/2</f>
        <v>0</v>
      </c>
      <c r="E28" s="317">
        <f>SUM(E133:E136)/2</f>
        <v>0</v>
      </c>
      <c r="F28" s="317">
        <f>SUM(F133:F136)/2</f>
        <v>0</v>
      </c>
    </row>
    <row r="29" spans="1:6" s="309" customFormat="1">
      <c r="A29" s="323" t="s">
        <v>282</v>
      </c>
      <c r="B29" s="298"/>
      <c r="C29" s="298"/>
      <c r="D29" s="318">
        <f>SUM(D137:D138)/2</f>
        <v>0</v>
      </c>
      <c r="E29" s="318">
        <f>SUM(E137:E138)/2</f>
        <v>0</v>
      </c>
      <c r="F29" s="318">
        <f>SUM(F137:F138)/2</f>
        <v>0</v>
      </c>
    </row>
    <row r="30" spans="1:6" s="309" customFormat="1">
      <c r="A30" s="322" t="s">
        <v>283</v>
      </c>
      <c r="B30" s="316"/>
      <c r="C30" s="316"/>
      <c r="D30" s="317">
        <f>SUM(D22:D29)</f>
        <v>19449.63</v>
      </c>
      <c r="E30" s="324">
        <f>SUM(E22:E29)</f>
        <v>17394.22</v>
      </c>
      <c r="F30" s="317">
        <f>SUM(F22:F29)</f>
        <v>36843.850000000006</v>
      </c>
    </row>
    <row r="31" spans="1:6" s="309" customFormat="1">
      <c r="A31" s="323" t="s">
        <v>210</v>
      </c>
      <c r="B31" s="298"/>
      <c r="C31" s="298"/>
      <c r="D31" s="318"/>
      <c r="E31" s="318"/>
      <c r="F31" s="318"/>
    </row>
    <row r="32" spans="1:6" s="309" customFormat="1">
      <c r="A32" s="322" t="s">
        <v>284</v>
      </c>
      <c r="B32" s="316"/>
      <c r="C32" s="316"/>
      <c r="D32" s="317">
        <f>SUM(D139:D148)/2</f>
        <v>235521.71</v>
      </c>
      <c r="E32" s="317">
        <f>SUM(E139:E148)/2</f>
        <v>250051.39000000004</v>
      </c>
      <c r="F32" s="317">
        <f>SUM(F139:F148)/2</f>
        <v>485573.1</v>
      </c>
    </row>
    <row r="33" spans="1:6" s="309" customFormat="1">
      <c r="A33" s="323" t="s">
        <v>206</v>
      </c>
      <c r="B33" s="298"/>
      <c r="C33" s="298"/>
      <c r="D33" s="318">
        <v>0</v>
      </c>
      <c r="E33" s="318">
        <v>0</v>
      </c>
      <c r="F33" s="318">
        <v>0</v>
      </c>
    </row>
    <row r="34" spans="1:6" s="309" customFormat="1">
      <c r="A34" s="322" t="s">
        <v>207</v>
      </c>
      <c r="B34" s="316"/>
      <c r="C34" s="316"/>
      <c r="D34" s="317">
        <f>SUM(D149:D154)/2</f>
        <v>503801.64999999997</v>
      </c>
      <c r="E34" s="317">
        <f>SUM(E149:E154)/2</f>
        <v>9106.619999999999</v>
      </c>
      <c r="F34" s="317">
        <f>SUM(F149:F154)/2</f>
        <v>512908.26999999996</v>
      </c>
    </row>
    <row r="35" spans="1:6" s="309" customFormat="1">
      <c r="A35" s="323" t="s">
        <v>208</v>
      </c>
      <c r="B35" s="298"/>
      <c r="C35" s="298"/>
      <c r="D35" s="318">
        <f>SUM(D155:D158)/2</f>
        <v>7594.8799999999992</v>
      </c>
      <c r="E35" s="318">
        <f>SUM(E155:E158)/2</f>
        <v>3747.6800000000003</v>
      </c>
      <c r="F35" s="318">
        <f>SUM(F155:F158)/2</f>
        <v>11342.56</v>
      </c>
    </row>
    <row r="36" spans="1:6" s="309" customFormat="1">
      <c r="A36" s="322" t="s">
        <v>285</v>
      </c>
      <c r="B36" s="316"/>
      <c r="C36" s="316"/>
      <c r="D36" s="317">
        <f>SUM(D159:D161)/2</f>
        <v>0</v>
      </c>
      <c r="E36" s="317">
        <f>SUM(E159:E161)/2</f>
        <v>0</v>
      </c>
      <c r="F36" s="317">
        <f>SUM(F159:F161)/2</f>
        <v>0</v>
      </c>
    </row>
    <row r="37" spans="1:6" s="309" customFormat="1">
      <c r="A37" s="323" t="s">
        <v>209</v>
      </c>
      <c r="B37" s="298"/>
      <c r="C37" s="298"/>
      <c r="D37" s="318">
        <v>0</v>
      </c>
      <c r="E37" s="318">
        <v>0</v>
      </c>
      <c r="F37" s="318">
        <v>0</v>
      </c>
    </row>
    <row r="38" spans="1:6" s="309" customFormat="1">
      <c r="A38" s="322" t="s">
        <v>286</v>
      </c>
      <c r="B38" s="316"/>
      <c r="C38" s="316"/>
      <c r="D38" s="317">
        <f>SUM(D32:D37)</f>
        <v>746918.24</v>
      </c>
      <c r="E38" s="317">
        <f>SUM(E32:E37)</f>
        <v>262905.69000000006</v>
      </c>
      <c r="F38" s="324">
        <f>SUM(F32:F37)</f>
        <v>1009823.9299999999</v>
      </c>
    </row>
    <row r="39" spans="1:6" s="309" customFormat="1">
      <c r="A39" s="323" t="s">
        <v>211</v>
      </c>
      <c r="B39" s="298"/>
      <c r="C39" s="298"/>
      <c r="D39" s="318">
        <v>0</v>
      </c>
      <c r="E39" s="318">
        <v>0</v>
      </c>
      <c r="F39" s="318">
        <v>0</v>
      </c>
    </row>
    <row r="40" spans="1:6" s="309" customFormat="1">
      <c r="A40" s="322" t="s">
        <v>212</v>
      </c>
      <c r="B40" s="316"/>
      <c r="C40" s="316"/>
      <c r="D40" s="317">
        <f>SUM(D162:D179)/2</f>
        <v>38079.589999999997</v>
      </c>
      <c r="E40" s="317">
        <f>SUM(E162:E179)/2</f>
        <v>92572.19</v>
      </c>
      <c r="F40" s="317">
        <f>SUM(F162:F179)/2</f>
        <v>130651.78000000001</v>
      </c>
    </row>
    <row r="41" spans="1:6" s="309" customFormat="1">
      <c r="A41" s="323" t="s">
        <v>213</v>
      </c>
      <c r="B41" s="298"/>
      <c r="C41" s="298"/>
      <c r="D41" s="318">
        <f>SUM(D180:D183)/2</f>
        <v>7.43</v>
      </c>
      <c r="E41" s="325">
        <f>SUM(E180:E183)/2</f>
        <v>5021.3999999999996</v>
      </c>
      <c r="F41" s="318">
        <f>SUM(F180:F183)/2</f>
        <v>5028.83</v>
      </c>
    </row>
    <row r="42" spans="1:6" s="309" customFormat="1">
      <c r="A42" s="322" t="s">
        <v>214</v>
      </c>
      <c r="B42" s="316"/>
      <c r="C42" s="316"/>
      <c r="D42" s="317">
        <f>D30+D38+D39+D40+D41</f>
        <v>804454.89</v>
      </c>
      <c r="E42" s="317">
        <f>E30+E38+E39+E40+E41</f>
        <v>377893.50000000006</v>
      </c>
      <c r="F42" s="317">
        <f>F30+F38+F39+F40+F41</f>
        <v>1182348.3899999999</v>
      </c>
    </row>
    <row r="43" spans="1:6" s="309" customFormat="1">
      <c r="A43" s="323" t="s">
        <v>215</v>
      </c>
      <c r="B43" s="298"/>
      <c r="C43" s="298"/>
      <c r="D43" s="318"/>
      <c r="E43" s="318"/>
      <c r="F43" s="318"/>
    </row>
    <row r="44" spans="1:6" s="309" customFormat="1">
      <c r="A44" s="322" t="s">
        <v>216</v>
      </c>
      <c r="B44" s="316"/>
      <c r="C44" s="316"/>
      <c r="D44" s="317">
        <f>SUM(D184:D194)/2</f>
        <v>235347.96</v>
      </c>
      <c r="E44" s="317">
        <f>SUM(E184:E194)/2</f>
        <v>1303777.9099999999</v>
      </c>
      <c r="F44" s="317">
        <f>SUM(F184:F194)/2</f>
        <v>1539125.8699999999</v>
      </c>
    </row>
    <row r="45" spans="1:6" s="309" customFormat="1">
      <c r="A45" s="323" t="s">
        <v>217</v>
      </c>
      <c r="B45" s="298"/>
      <c r="C45" s="298"/>
      <c r="D45" s="318">
        <f>SUM(D195:D209)/2</f>
        <v>447906.26999999996</v>
      </c>
      <c r="E45" s="318">
        <f>SUM(E195:E209)/2</f>
        <v>0</v>
      </c>
      <c r="F45" s="318">
        <f>SUM(F195:F209)/2</f>
        <v>447906.26999999996</v>
      </c>
    </row>
    <row r="46" spans="1:6" s="309" customFormat="1">
      <c r="A46" s="322" t="s">
        <v>218</v>
      </c>
      <c r="B46" s="316"/>
      <c r="C46" s="316"/>
      <c r="D46" s="317">
        <f>SUM(D210:D225)/2</f>
        <v>5862706.6399999997</v>
      </c>
      <c r="E46" s="317">
        <f>SUM(E210:E225)/2</f>
        <v>0</v>
      </c>
      <c r="F46" s="317">
        <f>SUM(F210:F225)/2</f>
        <v>5862706.6399999997</v>
      </c>
    </row>
    <row r="47" spans="1:6" s="309" customFormat="1">
      <c r="A47" s="323" t="s">
        <v>219</v>
      </c>
      <c r="B47" s="298"/>
      <c r="C47" s="298"/>
      <c r="D47" s="318">
        <f>SUM(D226:D227)/2</f>
        <v>188.60000000000002</v>
      </c>
      <c r="E47" s="318">
        <f>SUM(E226:E227)/2</f>
        <v>938.87</v>
      </c>
      <c r="F47" s="318">
        <f>SUM(F226:F227)/2</f>
        <v>1127.47</v>
      </c>
    </row>
    <row r="48" spans="1:6" s="309" customFormat="1">
      <c r="A48" s="322" t="s">
        <v>220</v>
      </c>
      <c r="B48" s="316"/>
      <c r="C48" s="316"/>
      <c r="D48" s="317">
        <f>SUM(D228:D239)/2</f>
        <v>908595.12999999989</v>
      </c>
      <c r="E48" s="317">
        <f>SUM(E228:E239)/2</f>
        <v>0</v>
      </c>
      <c r="F48" s="317">
        <f>SUM(F228:F239)/2</f>
        <v>908595.12999999989</v>
      </c>
    </row>
    <row r="49" spans="1:6" s="309" customFormat="1">
      <c r="A49" s="323" t="s">
        <v>221</v>
      </c>
      <c r="B49" s="298"/>
      <c r="C49" s="298"/>
      <c r="D49" s="318">
        <f>SUM(D240:D246)/2</f>
        <v>334280.99000000005</v>
      </c>
      <c r="E49" s="318">
        <f>SUM(E240:E246)/2</f>
        <v>6070</v>
      </c>
      <c r="F49" s="325">
        <f>SUM(F240:F246)/2</f>
        <v>340350.99000000005</v>
      </c>
    </row>
    <row r="50" spans="1:6" s="309" customFormat="1">
      <c r="A50" s="322" t="s">
        <v>222</v>
      </c>
      <c r="B50" s="316"/>
      <c r="C50" s="316"/>
      <c r="D50" s="317">
        <f>SUM(D247:D248)/2</f>
        <v>0</v>
      </c>
      <c r="E50" s="317">
        <f>SUM(E247:E248)/2</f>
        <v>0</v>
      </c>
      <c r="F50" s="317">
        <f>SUM(F247:F248)/2</f>
        <v>0</v>
      </c>
    </row>
    <row r="51" spans="1:6" s="309" customFormat="1">
      <c r="A51" s="323" t="s">
        <v>596</v>
      </c>
      <c r="B51" s="298"/>
      <c r="C51" s="298"/>
      <c r="D51" s="318">
        <f>SUM(D249:D253)/2</f>
        <v>8137.94</v>
      </c>
      <c r="E51" s="318">
        <f>SUM(E249:E253)/2</f>
        <v>0</v>
      </c>
      <c r="F51" s="318">
        <f>SUM(F249:F253)/2</f>
        <v>8137.94</v>
      </c>
    </row>
    <row r="52" spans="1:6" s="309" customFormat="1">
      <c r="A52" s="322" t="s">
        <v>223</v>
      </c>
      <c r="B52" s="316"/>
      <c r="C52" s="316"/>
      <c r="D52" s="317">
        <f>SUM(D254:D256)/2</f>
        <v>1819.77</v>
      </c>
      <c r="E52" s="317">
        <f>SUM(E254:E256)/2</f>
        <v>9298.39</v>
      </c>
      <c r="F52" s="317">
        <f>SUM(F254:F256)/2</f>
        <v>11118.160000000002</v>
      </c>
    </row>
    <row r="53" spans="1:6" s="309" customFormat="1">
      <c r="A53" s="323" t="s">
        <v>597</v>
      </c>
      <c r="B53" s="298"/>
      <c r="C53" s="298"/>
      <c r="D53" s="318">
        <f>SUM(D257:D258)/2</f>
        <v>175.22</v>
      </c>
      <c r="E53" s="318">
        <f>SUM(E257:E258)/2</f>
        <v>0</v>
      </c>
      <c r="F53" s="318">
        <f>SUM(F257:F258)/2</f>
        <v>175.22</v>
      </c>
    </row>
    <row r="54" spans="1:6" s="309" customFormat="1">
      <c r="A54" s="322" t="s">
        <v>224</v>
      </c>
      <c r="B54" s="316"/>
      <c r="C54" s="316"/>
      <c r="D54" s="317">
        <f>SUM(D259:D266)/2</f>
        <v>1285.2700000000002</v>
      </c>
      <c r="E54" s="317">
        <f>SUM(E259:E266)/2</f>
        <v>913.33</v>
      </c>
      <c r="F54" s="317">
        <f>SUM(F259:F266)/2</f>
        <v>2198.6000000000004</v>
      </c>
    </row>
    <row r="55" spans="1:6" s="309" customFormat="1">
      <c r="A55" s="323" t="s">
        <v>225</v>
      </c>
      <c r="B55" s="298"/>
      <c r="C55" s="298"/>
      <c r="D55" s="318">
        <f>SUM(D44:D54)</f>
        <v>7800443.7899999982</v>
      </c>
      <c r="E55" s="318">
        <f>SUM(E44:E54)</f>
        <v>1320998.5</v>
      </c>
      <c r="F55" s="325">
        <f>SUM(F44:F54)</f>
        <v>9121442.2899999991</v>
      </c>
    </row>
    <row r="56" spans="1:6" s="309" customFormat="1">
      <c r="A56" s="326" t="s">
        <v>226</v>
      </c>
      <c r="B56" s="316"/>
      <c r="C56" s="316"/>
      <c r="D56" s="317">
        <f>D42+D55</f>
        <v>8604898.6799999978</v>
      </c>
      <c r="E56" s="317">
        <f>E42+E55</f>
        <v>1698892</v>
      </c>
      <c r="F56" s="317">
        <f>F42+F55</f>
        <v>10303790.68</v>
      </c>
    </row>
    <row r="57" spans="1:6">
      <c r="A57" s="323"/>
      <c r="D57" s="318"/>
      <c r="E57" s="318"/>
      <c r="F57" s="318"/>
    </row>
    <row r="58" spans="1:6">
      <c r="A58" s="326" t="s">
        <v>273</v>
      </c>
      <c r="B58" s="316"/>
      <c r="C58" s="316"/>
      <c r="D58" s="317">
        <f>D11+D12+D16+D18+D56</f>
        <v>8970041.3999999985</v>
      </c>
      <c r="E58" s="317">
        <f>E11+E12+E16+E18+E56</f>
        <v>1698892</v>
      </c>
      <c r="F58" s="317">
        <f>F11+F12+F16+F18+F56</f>
        <v>10668933.4</v>
      </c>
    </row>
    <row r="59" spans="1:6" ht="13.8" thickBot="1">
      <c r="A59" s="327"/>
      <c r="B59" s="327"/>
      <c r="C59" s="327"/>
      <c r="D59" s="327"/>
      <c r="E59" s="327"/>
      <c r="F59" s="327"/>
    </row>
    <row r="61" spans="1:6">
      <c r="A61" s="305" t="s">
        <v>598</v>
      </c>
      <c r="B61" s="328"/>
      <c r="C61" s="328"/>
      <c r="D61" s="329"/>
      <c r="E61" s="329"/>
      <c r="F61" s="329"/>
    </row>
    <row r="62" spans="1:6">
      <c r="A62" s="330" t="s">
        <v>227</v>
      </c>
      <c r="B62" s="331"/>
      <c r="C62" s="331"/>
      <c r="D62" s="332">
        <v>0</v>
      </c>
      <c r="E62" s="332">
        <v>0</v>
      </c>
      <c r="F62" s="332">
        <v>0</v>
      </c>
    </row>
    <row r="63" spans="1:6" ht="26.4">
      <c r="A63" s="330"/>
      <c r="B63" s="331" t="s">
        <v>581</v>
      </c>
      <c r="C63" s="331"/>
      <c r="D63" s="332">
        <v>0</v>
      </c>
      <c r="E63" s="332">
        <v>0</v>
      </c>
      <c r="F63" s="332">
        <v>0</v>
      </c>
    </row>
    <row r="64" spans="1:6">
      <c r="A64" s="330"/>
      <c r="B64" s="331" t="s">
        <v>582</v>
      </c>
      <c r="C64" s="331"/>
      <c r="D64" s="332">
        <v>0</v>
      </c>
      <c r="E64" s="332">
        <v>0</v>
      </c>
      <c r="F64" s="332">
        <v>0</v>
      </c>
    </row>
    <row r="65" spans="1:6">
      <c r="A65" s="330" t="s">
        <v>229</v>
      </c>
      <c r="B65" s="331"/>
      <c r="C65" s="331"/>
      <c r="D65" s="332">
        <v>42.56</v>
      </c>
      <c r="E65" s="332">
        <v>0</v>
      </c>
      <c r="F65" s="332">
        <v>42.56</v>
      </c>
    </row>
    <row r="66" spans="1:6">
      <c r="A66" s="330"/>
      <c r="B66" s="331" t="s">
        <v>228</v>
      </c>
      <c r="C66" s="331"/>
      <c r="D66" s="332">
        <v>42.56</v>
      </c>
      <c r="E66" s="332">
        <v>0</v>
      </c>
      <c r="F66" s="332">
        <v>42.56</v>
      </c>
    </row>
    <row r="67" spans="1:6">
      <c r="A67" s="330" t="s">
        <v>230</v>
      </c>
      <c r="B67" s="331"/>
      <c r="C67" s="331"/>
      <c r="D67" s="332">
        <v>-1855.02</v>
      </c>
      <c r="E67" s="332">
        <v>0</v>
      </c>
      <c r="F67" s="332">
        <v>-1855.02</v>
      </c>
    </row>
    <row r="68" spans="1:6">
      <c r="A68" s="330"/>
      <c r="B68" s="331" t="s">
        <v>231</v>
      </c>
      <c r="C68" s="331"/>
      <c r="D68" s="332">
        <v>-1855.02</v>
      </c>
      <c r="E68" s="332">
        <v>0</v>
      </c>
      <c r="F68" s="332">
        <v>-1855.02</v>
      </c>
    </row>
    <row r="69" spans="1:6">
      <c r="A69" s="330"/>
      <c r="B69" s="331" t="s">
        <v>228</v>
      </c>
      <c r="C69" s="331"/>
      <c r="D69" s="332">
        <v>0</v>
      </c>
      <c r="E69" s="332">
        <v>0</v>
      </c>
      <c r="F69" s="332">
        <v>0</v>
      </c>
    </row>
    <row r="70" spans="1:6">
      <c r="A70" s="330" t="s">
        <v>583</v>
      </c>
      <c r="B70" s="331"/>
      <c r="C70" s="331"/>
      <c r="D70" s="332">
        <v>0</v>
      </c>
      <c r="E70" s="332">
        <v>0</v>
      </c>
      <c r="F70" s="332">
        <v>0</v>
      </c>
    </row>
    <row r="71" spans="1:6">
      <c r="A71" s="330"/>
      <c r="B71" s="331" t="s">
        <v>582</v>
      </c>
      <c r="C71" s="331"/>
      <c r="D71" s="332">
        <v>0</v>
      </c>
      <c r="E71" s="332">
        <v>0</v>
      </c>
      <c r="F71" s="332">
        <v>0</v>
      </c>
    </row>
    <row r="72" spans="1:6">
      <c r="A72" s="330" t="s">
        <v>233</v>
      </c>
      <c r="B72" s="331"/>
      <c r="C72" s="331"/>
      <c r="D72" s="332">
        <v>259624.88999999998</v>
      </c>
      <c r="E72" s="332">
        <v>0</v>
      </c>
      <c r="F72" s="332">
        <v>259624.88999999998</v>
      </c>
    </row>
    <row r="73" spans="1:6">
      <c r="A73" s="330"/>
      <c r="B73" s="331" t="s">
        <v>238</v>
      </c>
      <c r="C73" s="331"/>
      <c r="D73" s="332">
        <v>99615.049999999988</v>
      </c>
      <c r="E73" s="332">
        <v>0</v>
      </c>
      <c r="F73" s="332">
        <v>99615.049999999988</v>
      </c>
    </row>
    <row r="74" spans="1:6">
      <c r="A74" s="330"/>
      <c r="B74" s="331" t="s">
        <v>237</v>
      </c>
      <c r="C74" s="331"/>
      <c r="D74" s="332">
        <v>0</v>
      </c>
      <c r="E74" s="332">
        <v>0</v>
      </c>
      <c r="F74" s="332">
        <v>0</v>
      </c>
    </row>
    <row r="75" spans="1:6">
      <c r="A75" s="330"/>
      <c r="B75" s="331" t="s">
        <v>235</v>
      </c>
      <c r="C75" s="331"/>
      <c r="D75" s="332">
        <v>0</v>
      </c>
      <c r="E75" s="332">
        <v>0</v>
      </c>
      <c r="F75" s="332">
        <v>0</v>
      </c>
    </row>
    <row r="76" spans="1:6">
      <c r="A76" s="330"/>
      <c r="B76" s="331" t="s">
        <v>234</v>
      </c>
      <c r="C76" s="331"/>
      <c r="D76" s="332">
        <v>0</v>
      </c>
      <c r="E76" s="332">
        <v>0</v>
      </c>
      <c r="F76" s="332">
        <v>0</v>
      </c>
    </row>
    <row r="77" spans="1:6">
      <c r="A77" s="330"/>
      <c r="B77" s="331" t="s">
        <v>236</v>
      </c>
      <c r="C77" s="331"/>
      <c r="D77" s="332">
        <v>0</v>
      </c>
      <c r="E77" s="332">
        <v>0</v>
      </c>
      <c r="F77" s="332">
        <v>0</v>
      </c>
    </row>
    <row r="78" spans="1:6">
      <c r="A78" s="330"/>
      <c r="B78" s="331" t="s">
        <v>231</v>
      </c>
      <c r="C78" s="331"/>
      <c r="D78" s="332">
        <v>31226.83</v>
      </c>
      <c r="E78" s="332">
        <v>0</v>
      </c>
      <c r="F78" s="332">
        <v>31226.83</v>
      </c>
    </row>
    <row r="79" spans="1:6">
      <c r="A79" s="330"/>
      <c r="B79" s="331" t="s">
        <v>239</v>
      </c>
      <c r="C79" s="331"/>
      <c r="D79" s="332">
        <v>48762.33</v>
      </c>
      <c r="E79" s="332">
        <v>0</v>
      </c>
      <c r="F79" s="332">
        <v>48762.33</v>
      </c>
    </row>
    <row r="80" spans="1:6">
      <c r="A80" s="330"/>
      <c r="B80" s="331" t="s">
        <v>228</v>
      </c>
      <c r="C80" s="331"/>
      <c r="D80" s="332">
        <v>54047.59</v>
      </c>
      <c r="E80" s="332">
        <v>0</v>
      </c>
      <c r="F80" s="332">
        <v>54047.59</v>
      </c>
    </row>
    <row r="81" spans="1:6">
      <c r="A81" s="330"/>
      <c r="B81" s="331" t="s">
        <v>240</v>
      </c>
      <c r="C81" s="331"/>
      <c r="D81" s="332">
        <v>25973.09</v>
      </c>
      <c r="E81" s="332">
        <v>0</v>
      </c>
      <c r="F81" s="332">
        <v>25973.09</v>
      </c>
    </row>
    <row r="82" spans="1:6">
      <c r="A82" s="330" t="s">
        <v>52</v>
      </c>
      <c r="B82" s="331"/>
      <c r="C82" s="331"/>
      <c r="D82" s="332">
        <v>106935.89</v>
      </c>
      <c r="E82" s="332">
        <v>0</v>
      </c>
      <c r="F82" s="332">
        <v>106935.89</v>
      </c>
    </row>
    <row r="83" spans="1:6">
      <c r="A83" s="330"/>
      <c r="B83" s="331" t="s">
        <v>243</v>
      </c>
      <c r="C83" s="331"/>
      <c r="D83" s="332">
        <v>354.17</v>
      </c>
      <c r="E83" s="332">
        <v>0</v>
      </c>
      <c r="F83" s="332">
        <v>354.17</v>
      </c>
    </row>
    <row r="84" spans="1:6">
      <c r="A84" s="330"/>
      <c r="B84" s="331" t="s">
        <v>238</v>
      </c>
      <c r="C84" s="331"/>
      <c r="D84" s="332">
        <v>30362.27</v>
      </c>
      <c r="E84" s="332">
        <v>0</v>
      </c>
      <c r="F84" s="332">
        <v>30362.27</v>
      </c>
    </row>
    <row r="85" spans="1:6">
      <c r="A85" s="330"/>
      <c r="B85" s="331" t="s">
        <v>237</v>
      </c>
      <c r="C85" s="331"/>
      <c r="D85" s="332">
        <v>0</v>
      </c>
      <c r="E85" s="332">
        <v>0</v>
      </c>
      <c r="F85" s="332">
        <v>0</v>
      </c>
    </row>
    <row r="86" spans="1:6">
      <c r="A86" s="330"/>
      <c r="B86" s="331" t="s">
        <v>236</v>
      </c>
      <c r="C86" s="331"/>
      <c r="D86" s="332">
        <v>0</v>
      </c>
      <c r="E86" s="332">
        <v>0</v>
      </c>
      <c r="F86" s="332">
        <v>0</v>
      </c>
    </row>
    <row r="87" spans="1:6">
      <c r="A87" s="330"/>
      <c r="B87" s="331" t="s">
        <v>242</v>
      </c>
      <c r="C87" s="331"/>
      <c r="D87" s="332">
        <v>0</v>
      </c>
      <c r="E87" s="332">
        <v>0</v>
      </c>
      <c r="F87" s="332">
        <v>0</v>
      </c>
    </row>
    <row r="88" spans="1:6">
      <c r="A88" s="330"/>
      <c r="B88" s="331" t="s">
        <v>234</v>
      </c>
      <c r="C88" s="331"/>
      <c r="D88" s="332">
        <v>0</v>
      </c>
      <c r="E88" s="332">
        <v>0</v>
      </c>
      <c r="F88" s="332">
        <v>0</v>
      </c>
    </row>
    <row r="89" spans="1:6">
      <c r="A89" s="330"/>
      <c r="B89" s="331" t="s">
        <v>241</v>
      </c>
      <c r="C89" s="331"/>
      <c r="D89" s="332">
        <v>0</v>
      </c>
      <c r="E89" s="332">
        <v>0</v>
      </c>
      <c r="F89" s="332">
        <v>0</v>
      </c>
    </row>
    <row r="90" spans="1:6">
      <c r="A90" s="330"/>
      <c r="B90" s="331" t="s">
        <v>235</v>
      </c>
      <c r="C90" s="331"/>
      <c r="D90" s="332">
        <v>0</v>
      </c>
      <c r="E90" s="332">
        <v>0</v>
      </c>
      <c r="F90" s="332">
        <v>0</v>
      </c>
    </row>
    <row r="91" spans="1:6">
      <c r="A91" s="330"/>
      <c r="B91" s="331" t="s">
        <v>231</v>
      </c>
      <c r="C91" s="331"/>
      <c r="D91" s="332">
        <v>19260.170000000002</v>
      </c>
      <c r="E91" s="332">
        <v>0</v>
      </c>
      <c r="F91" s="332">
        <v>19260.170000000002</v>
      </c>
    </row>
    <row r="92" spans="1:6">
      <c r="A92" s="330"/>
      <c r="B92" s="331" t="s">
        <v>239</v>
      </c>
      <c r="C92" s="331"/>
      <c r="D92" s="332">
        <v>21876.32</v>
      </c>
      <c r="E92" s="332">
        <v>0</v>
      </c>
      <c r="F92" s="332">
        <v>21876.32</v>
      </c>
    </row>
    <row r="93" spans="1:6">
      <c r="A93" s="330"/>
      <c r="B93" s="331" t="s">
        <v>228</v>
      </c>
      <c r="C93" s="331"/>
      <c r="D93" s="332">
        <v>24000.29</v>
      </c>
      <c r="E93" s="332">
        <v>0</v>
      </c>
      <c r="F93" s="332">
        <v>24000.29</v>
      </c>
    </row>
    <row r="94" spans="1:6">
      <c r="A94" s="330"/>
      <c r="B94" s="331" t="s">
        <v>240</v>
      </c>
      <c r="C94" s="331"/>
      <c r="D94" s="332">
        <v>11082.67</v>
      </c>
      <c r="E94" s="332">
        <v>0</v>
      </c>
      <c r="F94" s="332">
        <v>11082.67</v>
      </c>
    </row>
    <row r="95" spans="1:6">
      <c r="A95" s="330" t="s">
        <v>244</v>
      </c>
      <c r="B95" s="331"/>
      <c r="C95" s="331"/>
      <c r="D95" s="332">
        <v>0</v>
      </c>
      <c r="E95" s="332">
        <v>0</v>
      </c>
      <c r="F95" s="332">
        <v>0</v>
      </c>
    </row>
    <row r="96" spans="1:6">
      <c r="A96" s="330"/>
      <c r="B96" s="331" t="s">
        <v>582</v>
      </c>
      <c r="C96" s="331"/>
      <c r="D96" s="332">
        <v>0</v>
      </c>
      <c r="E96" s="332">
        <v>0</v>
      </c>
      <c r="F96" s="332">
        <v>0</v>
      </c>
    </row>
    <row r="97" spans="1:6">
      <c r="A97" s="330" t="s">
        <v>245</v>
      </c>
      <c r="B97" s="331"/>
      <c r="C97" s="331"/>
      <c r="D97" s="332">
        <v>360.49</v>
      </c>
      <c r="E97" s="332">
        <v>0</v>
      </c>
      <c r="F97" s="332">
        <v>360.49</v>
      </c>
    </row>
    <row r="98" spans="1:6">
      <c r="A98" s="330"/>
      <c r="B98" s="331" t="s">
        <v>240</v>
      </c>
      <c r="C98" s="331"/>
      <c r="D98" s="332">
        <v>360.49</v>
      </c>
      <c r="E98" s="332">
        <v>0</v>
      </c>
      <c r="F98" s="332">
        <v>360.49</v>
      </c>
    </row>
    <row r="99" spans="1:6">
      <c r="A99" s="330" t="s">
        <v>246</v>
      </c>
      <c r="B99" s="331"/>
      <c r="C99" s="331"/>
      <c r="D99" s="332">
        <v>33.909999999999997</v>
      </c>
      <c r="E99" s="332">
        <v>0</v>
      </c>
      <c r="F99" s="332">
        <v>33.909999999999997</v>
      </c>
    </row>
    <row r="100" spans="1:6">
      <c r="A100" s="330"/>
      <c r="B100" s="331" t="s">
        <v>236</v>
      </c>
      <c r="C100" s="331"/>
      <c r="D100" s="332">
        <v>0</v>
      </c>
      <c r="E100" s="332">
        <v>0</v>
      </c>
      <c r="F100" s="332">
        <v>0</v>
      </c>
    </row>
    <row r="101" spans="1:6">
      <c r="A101" s="330"/>
      <c r="B101" s="331" t="s">
        <v>228</v>
      </c>
      <c r="C101" s="331"/>
      <c r="D101" s="332">
        <v>33.909999999999997</v>
      </c>
      <c r="E101" s="332">
        <v>0</v>
      </c>
      <c r="F101" s="332">
        <v>33.909999999999997</v>
      </c>
    </row>
    <row r="102" spans="1:6">
      <c r="A102" s="330" t="s">
        <v>584</v>
      </c>
      <c r="B102" s="331"/>
      <c r="C102" s="331"/>
      <c r="D102" s="332">
        <v>0</v>
      </c>
      <c r="E102" s="332">
        <v>0</v>
      </c>
      <c r="F102" s="332">
        <v>0</v>
      </c>
    </row>
    <row r="103" spans="1:6">
      <c r="A103" s="330"/>
      <c r="B103" s="331" t="s">
        <v>582</v>
      </c>
      <c r="C103" s="331"/>
      <c r="D103" s="332">
        <v>0</v>
      </c>
      <c r="E103" s="332">
        <v>0</v>
      </c>
      <c r="F103" s="332">
        <v>0</v>
      </c>
    </row>
    <row r="104" spans="1:6">
      <c r="A104" s="330" t="s">
        <v>585</v>
      </c>
      <c r="B104" s="331"/>
      <c r="C104" s="331"/>
      <c r="D104" s="332">
        <v>0</v>
      </c>
      <c r="E104" s="332">
        <v>0</v>
      </c>
      <c r="F104" s="332">
        <v>0</v>
      </c>
    </row>
    <row r="105" spans="1:6">
      <c r="A105" s="330"/>
      <c r="B105" s="331" t="s">
        <v>582</v>
      </c>
      <c r="C105" s="331"/>
      <c r="D105" s="332">
        <v>0</v>
      </c>
      <c r="E105" s="332">
        <v>0</v>
      </c>
      <c r="F105" s="332">
        <v>0</v>
      </c>
    </row>
    <row r="106" spans="1:6">
      <c r="A106" s="330" t="s">
        <v>247</v>
      </c>
      <c r="B106" s="331"/>
      <c r="C106" s="331"/>
      <c r="D106" s="332">
        <v>0</v>
      </c>
      <c r="E106" s="332">
        <v>0</v>
      </c>
      <c r="F106" s="332">
        <v>0</v>
      </c>
    </row>
    <row r="107" spans="1:6">
      <c r="A107" s="330"/>
      <c r="B107" s="331" t="s">
        <v>582</v>
      </c>
      <c r="C107" s="331"/>
      <c r="D107" s="332">
        <v>0</v>
      </c>
      <c r="E107" s="332">
        <v>0</v>
      </c>
      <c r="F107" s="332">
        <v>0</v>
      </c>
    </row>
    <row r="108" spans="1:6">
      <c r="A108" s="330" t="s">
        <v>248</v>
      </c>
      <c r="B108" s="331"/>
      <c r="C108" s="331"/>
      <c r="D108" s="332">
        <v>3454.87</v>
      </c>
      <c r="E108" s="332">
        <v>7434.21</v>
      </c>
      <c r="F108" s="332">
        <v>10889.08</v>
      </c>
    </row>
    <row r="109" spans="1:6">
      <c r="A109" s="330"/>
      <c r="B109" s="331" t="s">
        <v>238</v>
      </c>
      <c r="C109" s="331"/>
      <c r="D109" s="332">
        <v>2478.17</v>
      </c>
      <c r="E109" s="332">
        <v>6181.68</v>
      </c>
      <c r="F109" s="332">
        <v>8659.85</v>
      </c>
    </row>
    <row r="110" spans="1:6">
      <c r="A110" s="330"/>
      <c r="B110" s="331" t="s">
        <v>236</v>
      </c>
      <c r="C110" s="331"/>
      <c r="D110" s="332">
        <v>0</v>
      </c>
      <c r="E110" s="332">
        <v>0</v>
      </c>
      <c r="F110" s="332">
        <v>0</v>
      </c>
    </row>
    <row r="111" spans="1:6">
      <c r="A111" s="330"/>
      <c r="B111" s="331" t="s">
        <v>234</v>
      </c>
      <c r="C111" s="331"/>
      <c r="D111" s="332">
        <v>0</v>
      </c>
      <c r="E111" s="332">
        <v>0</v>
      </c>
      <c r="F111" s="332">
        <v>0</v>
      </c>
    </row>
    <row r="112" spans="1:6">
      <c r="A112" s="330"/>
      <c r="B112" s="331" t="s">
        <v>231</v>
      </c>
      <c r="C112" s="331"/>
      <c r="D112" s="332">
        <v>26.2</v>
      </c>
      <c r="E112" s="332">
        <v>155.47999999999999</v>
      </c>
      <c r="F112" s="332">
        <v>181.67999999999998</v>
      </c>
    </row>
    <row r="113" spans="1:6">
      <c r="A113" s="330"/>
      <c r="B113" s="331" t="s">
        <v>228</v>
      </c>
      <c r="C113" s="331"/>
      <c r="D113" s="332">
        <v>359.40999999999997</v>
      </c>
      <c r="E113" s="332">
        <v>378.99</v>
      </c>
      <c r="F113" s="332">
        <v>738.4</v>
      </c>
    </row>
    <row r="114" spans="1:6">
      <c r="A114" s="330"/>
      <c r="B114" s="331" t="s">
        <v>240</v>
      </c>
      <c r="C114" s="331"/>
      <c r="D114" s="332">
        <v>591.08999999999992</v>
      </c>
      <c r="E114" s="332">
        <v>718.06000000000006</v>
      </c>
      <c r="F114" s="332">
        <v>1309.1500000000001</v>
      </c>
    </row>
    <row r="115" spans="1:6">
      <c r="A115" s="330" t="s">
        <v>249</v>
      </c>
      <c r="B115" s="331"/>
      <c r="C115" s="331"/>
      <c r="D115" s="332">
        <v>12187.94</v>
      </c>
      <c r="E115" s="332">
        <v>0</v>
      </c>
      <c r="F115" s="332">
        <v>12187.94</v>
      </c>
    </row>
    <row r="116" spans="1:6">
      <c r="A116" s="330"/>
      <c r="B116" s="331" t="s">
        <v>243</v>
      </c>
      <c r="C116" s="331"/>
      <c r="D116" s="332">
        <v>12187.94</v>
      </c>
      <c r="E116" s="332">
        <v>0</v>
      </c>
      <c r="F116" s="332">
        <v>12187.94</v>
      </c>
    </row>
    <row r="117" spans="1:6">
      <c r="A117" s="330"/>
      <c r="B117" s="331" t="s">
        <v>586</v>
      </c>
      <c r="C117" s="331"/>
      <c r="D117" s="332">
        <v>0</v>
      </c>
      <c r="E117" s="332">
        <v>0</v>
      </c>
      <c r="F117" s="332">
        <v>0</v>
      </c>
    </row>
    <row r="118" spans="1:6">
      <c r="A118" s="330"/>
      <c r="B118" s="331" t="s">
        <v>242</v>
      </c>
      <c r="C118" s="331"/>
      <c r="D118" s="332">
        <v>0</v>
      </c>
      <c r="E118" s="332">
        <v>0</v>
      </c>
      <c r="F118" s="332">
        <v>0</v>
      </c>
    </row>
    <row r="119" spans="1:6">
      <c r="A119" s="330"/>
      <c r="B119" s="331" t="s">
        <v>241</v>
      </c>
      <c r="C119" s="331"/>
      <c r="D119" s="332">
        <v>0</v>
      </c>
      <c r="E119" s="332">
        <v>0</v>
      </c>
      <c r="F119" s="332">
        <v>0</v>
      </c>
    </row>
    <row r="120" spans="1:6">
      <c r="A120" s="330"/>
      <c r="B120" s="331" t="s">
        <v>250</v>
      </c>
      <c r="C120" s="331"/>
      <c r="D120" s="332">
        <v>0</v>
      </c>
      <c r="E120" s="332">
        <v>0</v>
      </c>
      <c r="F120" s="332">
        <v>0</v>
      </c>
    </row>
    <row r="121" spans="1:6">
      <c r="A121" s="330" t="s">
        <v>251</v>
      </c>
      <c r="B121" s="331"/>
      <c r="C121" s="331"/>
      <c r="D121" s="332">
        <v>3806.8199999999997</v>
      </c>
      <c r="E121" s="332">
        <v>9960.01</v>
      </c>
      <c r="F121" s="332">
        <v>13766.830000000002</v>
      </c>
    </row>
    <row r="122" spans="1:6">
      <c r="A122" s="330"/>
      <c r="B122" s="331" t="s">
        <v>231</v>
      </c>
      <c r="C122" s="331"/>
      <c r="D122" s="332">
        <v>912.35</v>
      </c>
      <c r="E122" s="332">
        <v>7711.93</v>
      </c>
      <c r="F122" s="332">
        <v>8624.2800000000007</v>
      </c>
    </row>
    <row r="123" spans="1:6">
      <c r="A123" s="330"/>
      <c r="B123" s="331" t="s">
        <v>239</v>
      </c>
      <c r="C123" s="331"/>
      <c r="D123" s="332">
        <v>2659.85</v>
      </c>
      <c r="E123" s="332">
        <v>0</v>
      </c>
      <c r="F123" s="332">
        <v>2659.85</v>
      </c>
    </row>
    <row r="124" spans="1:6">
      <c r="A124" s="330"/>
      <c r="B124" s="331" t="s">
        <v>228</v>
      </c>
      <c r="C124" s="331"/>
      <c r="D124" s="332">
        <v>105.52</v>
      </c>
      <c r="E124" s="332">
        <v>980.4</v>
      </c>
      <c r="F124" s="332">
        <v>1085.92</v>
      </c>
    </row>
    <row r="125" spans="1:6">
      <c r="A125" s="330"/>
      <c r="B125" s="331" t="s">
        <v>240</v>
      </c>
      <c r="C125" s="331"/>
      <c r="D125" s="332">
        <v>129.1</v>
      </c>
      <c r="E125" s="332">
        <v>1267.68</v>
      </c>
      <c r="F125" s="332">
        <v>1396.78</v>
      </c>
    </row>
    <row r="126" spans="1:6">
      <c r="A126" s="330" t="s">
        <v>252</v>
      </c>
      <c r="B126" s="331"/>
      <c r="C126" s="331"/>
      <c r="D126" s="332">
        <v>0</v>
      </c>
      <c r="E126" s="332">
        <v>0</v>
      </c>
      <c r="F126" s="332">
        <v>0</v>
      </c>
    </row>
    <row r="127" spans="1:6">
      <c r="A127" s="330"/>
      <c r="B127" s="331" t="s">
        <v>231</v>
      </c>
      <c r="C127" s="331"/>
      <c r="D127" s="332">
        <v>0</v>
      </c>
      <c r="E127" s="332">
        <v>0</v>
      </c>
      <c r="F127" s="332">
        <v>0</v>
      </c>
    </row>
    <row r="128" spans="1:6">
      <c r="A128" s="330"/>
      <c r="B128" s="331" t="s">
        <v>228</v>
      </c>
      <c r="C128" s="331"/>
      <c r="D128" s="332">
        <v>0</v>
      </c>
      <c r="E128" s="332">
        <v>0</v>
      </c>
      <c r="F128" s="332">
        <v>0</v>
      </c>
    </row>
    <row r="129" spans="1:6">
      <c r="A129" s="330"/>
      <c r="B129" s="331" t="s">
        <v>240</v>
      </c>
      <c r="C129" s="331"/>
      <c r="D129" s="332">
        <v>0</v>
      </c>
      <c r="E129" s="332">
        <v>0</v>
      </c>
      <c r="F129" s="332">
        <v>0</v>
      </c>
    </row>
    <row r="130" spans="1:6">
      <c r="A130" s="330" t="s">
        <v>587</v>
      </c>
      <c r="B130" s="331"/>
      <c r="C130" s="331"/>
      <c r="D130" s="332">
        <v>0</v>
      </c>
      <c r="E130" s="332">
        <v>0</v>
      </c>
      <c r="F130" s="332">
        <v>0</v>
      </c>
    </row>
    <row r="131" spans="1:6">
      <c r="A131" s="330"/>
      <c r="B131" s="331" t="s">
        <v>241</v>
      </c>
      <c r="C131" s="331"/>
      <c r="D131" s="332">
        <v>0</v>
      </c>
      <c r="E131" s="332">
        <v>0</v>
      </c>
      <c r="F131" s="332">
        <v>0</v>
      </c>
    </row>
    <row r="132" spans="1:6">
      <c r="A132" s="330"/>
      <c r="B132" s="331" t="s">
        <v>239</v>
      </c>
      <c r="C132" s="331"/>
      <c r="D132" s="332">
        <v>0</v>
      </c>
      <c r="E132" s="332">
        <v>0</v>
      </c>
      <c r="F132" s="332">
        <v>0</v>
      </c>
    </row>
    <row r="133" spans="1:6">
      <c r="A133" s="330" t="s">
        <v>253</v>
      </c>
      <c r="B133" s="331"/>
      <c r="C133" s="331"/>
      <c r="D133" s="332">
        <v>0</v>
      </c>
      <c r="E133" s="332">
        <v>0</v>
      </c>
      <c r="F133" s="332">
        <v>0</v>
      </c>
    </row>
    <row r="134" spans="1:6">
      <c r="A134" s="330"/>
      <c r="B134" s="331" t="s">
        <v>241</v>
      </c>
      <c r="C134" s="331"/>
      <c r="D134" s="332">
        <v>0</v>
      </c>
      <c r="E134" s="332">
        <v>0</v>
      </c>
      <c r="F134" s="332">
        <v>0</v>
      </c>
    </row>
    <row r="135" spans="1:6">
      <c r="A135" s="330"/>
      <c r="B135" s="331" t="s">
        <v>250</v>
      </c>
      <c r="C135" s="331"/>
      <c r="D135" s="332">
        <v>0</v>
      </c>
      <c r="E135" s="332">
        <v>0</v>
      </c>
      <c r="F135" s="332">
        <v>0</v>
      </c>
    </row>
    <row r="136" spans="1:6">
      <c r="A136" s="330"/>
      <c r="B136" s="331" t="s">
        <v>242</v>
      </c>
      <c r="C136" s="331"/>
      <c r="D136" s="332">
        <v>0</v>
      </c>
      <c r="E136" s="332">
        <v>0</v>
      </c>
      <c r="F136" s="332">
        <v>0</v>
      </c>
    </row>
    <row r="137" spans="1:6">
      <c r="A137" s="330" t="s">
        <v>254</v>
      </c>
      <c r="B137" s="331"/>
      <c r="C137" s="331"/>
      <c r="D137" s="332">
        <v>0</v>
      </c>
      <c r="E137" s="332">
        <v>0</v>
      </c>
      <c r="F137" s="332">
        <v>0</v>
      </c>
    </row>
    <row r="138" spans="1:6">
      <c r="A138" s="330"/>
      <c r="B138" s="331" t="s">
        <v>242</v>
      </c>
      <c r="C138" s="331"/>
      <c r="D138" s="332">
        <v>0</v>
      </c>
      <c r="E138" s="332">
        <v>0</v>
      </c>
      <c r="F138" s="332">
        <v>0</v>
      </c>
    </row>
    <row r="139" spans="1:6">
      <c r="A139" s="330" t="s">
        <v>255</v>
      </c>
      <c r="B139" s="331"/>
      <c r="C139" s="331"/>
      <c r="D139" s="332">
        <v>235521.71000000002</v>
      </c>
      <c r="E139" s="332">
        <v>250051.39</v>
      </c>
      <c r="F139" s="332">
        <v>485573.1</v>
      </c>
    </row>
    <row r="140" spans="1:6">
      <c r="A140" s="330"/>
      <c r="B140" s="331" t="s">
        <v>238</v>
      </c>
      <c r="C140" s="331"/>
      <c r="D140" s="332">
        <v>10758.210000000001</v>
      </c>
      <c r="E140" s="332">
        <v>15089.65</v>
      </c>
      <c r="F140" s="332">
        <v>25847.86</v>
      </c>
    </row>
    <row r="141" spans="1:6">
      <c r="A141" s="330"/>
      <c r="B141" s="331" t="s">
        <v>237</v>
      </c>
      <c r="C141" s="331"/>
      <c r="D141" s="332">
        <v>0</v>
      </c>
      <c r="E141" s="332">
        <v>0</v>
      </c>
      <c r="F141" s="332">
        <v>0</v>
      </c>
    </row>
    <row r="142" spans="1:6">
      <c r="A142" s="330"/>
      <c r="B142" s="331" t="s">
        <v>236</v>
      </c>
      <c r="C142" s="331"/>
      <c r="D142" s="332">
        <v>0</v>
      </c>
      <c r="E142" s="332">
        <v>0</v>
      </c>
      <c r="F142" s="332">
        <v>0</v>
      </c>
    </row>
    <row r="143" spans="1:6">
      <c r="A143" s="330"/>
      <c r="B143" s="331" t="s">
        <v>234</v>
      </c>
      <c r="C143" s="331"/>
      <c r="D143" s="332">
        <v>0</v>
      </c>
      <c r="E143" s="332">
        <v>0</v>
      </c>
      <c r="F143" s="332">
        <v>0</v>
      </c>
    </row>
    <row r="144" spans="1:6">
      <c r="A144" s="330"/>
      <c r="B144" s="331" t="s">
        <v>241</v>
      </c>
      <c r="C144" s="331"/>
      <c r="D144" s="332">
        <v>0</v>
      </c>
      <c r="E144" s="332">
        <v>0</v>
      </c>
      <c r="F144" s="332">
        <v>0</v>
      </c>
    </row>
    <row r="145" spans="1:6">
      <c r="A145" s="330"/>
      <c r="B145" s="331" t="s">
        <v>235</v>
      </c>
      <c r="C145" s="331"/>
      <c r="D145" s="332">
        <v>0</v>
      </c>
      <c r="E145" s="332">
        <v>0</v>
      </c>
      <c r="F145" s="332">
        <v>0</v>
      </c>
    </row>
    <row r="146" spans="1:6">
      <c r="A146" s="330"/>
      <c r="B146" s="331" t="s">
        <v>231</v>
      </c>
      <c r="C146" s="331"/>
      <c r="D146" s="332">
        <v>105115.74</v>
      </c>
      <c r="E146" s="332">
        <v>101860.02</v>
      </c>
      <c r="F146" s="332">
        <v>206975.76</v>
      </c>
    </row>
    <row r="147" spans="1:6">
      <c r="A147" s="330"/>
      <c r="B147" s="331" t="s">
        <v>228</v>
      </c>
      <c r="C147" s="331"/>
      <c r="D147" s="332">
        <v>56691.22</v>
      </c>
      <c r="E147" s="332">
        <v>118446.78</v>
      </c>
      <c r="F147" s="332">
        <v>175138</v>
      </c>
    </row>
    <row r="148" spans="1:6">
      <c r="A148" s="330"/>
      <c r="B148" s="331" t="s">
        <v>240</v>
      </c>
      <c r="C148" s="331"/>
      <c r="D148" s="332">
        <v>62956.54</v>
      </c>
      <c r="E148" s="332">
        <v>14654.939999999999</v>
      </c>
      <c r="F148" s="332">
        <v>77611.48</v>
      </c>
    </row>
    <row r="149" spans="1:6">
      <c r="A149" s="330" t="s">
        <v>256</v>
      </c>
      <c r="B149" s="331"/>
      <c r="C149" s="331"/>
      <c r="D149" s="332">
        <v>503801.64999999997</v>
      </c>
      <c r="E149" s="332">
        <v>9106.619999999999</v>
      </c>
      <c r="F149" s="332">
        <v>512908.26999999996</v>
      </c>
    </row>
    <row r="150" spans="1:6">
      <c r="A150" s="330"/>
      <c r="B150" s="331" t="s">
        <v>241</v>
      </c>
      <c r="C150" s="331"/>
      <c r="D150" s="332">
        <v>0</v>
      </c>
      <c r="E150" s="332">
        <v>0</v>
      </c>
      <c r="F150" s="332">
        <v>0</v>
      </c>
    </row>
    <row r="151" spans="1:6">
      <c r="A151" s="330"/>
      <c r="B151" s="331" t="s">
        <v>250</v>
      </c>
      <c r="C151" s="331"/>
      <c r="D151" s="332">
        <v>0</v>
      </c>
      <c r="E151" s="332">
        <v>0</v>
      </c>
      <c r="F151" s="332">
        <v>0</v>
      </c>
    </row>
    <row r="152" spans="1:6">
      <c r="A152" s="330"/>
      <c r="B152" s="331" t="s">
        <v>231</v>
      </c>
      <c r="C152" s="331"/>
      <c r="D152" s="332">
        <v>495977.22</v>
      </c>
      <c r="E152" s="332">
        <v>1687.79</v>
      </c>
      <c r="F152" s="332">
        <v>497665.00999999995</v>
      </c>
    </row>
    <row r="153" spans="1:6">
      <c r="A153" s="330"/>
      <c r="B153" s="331" t="s">
        <v>228</v>
      </c>
      <c r="C153" s="331"/>
      <c r="D153" s="332">
        <v>7824.43</v>
      </c>
      <c r="E153" s="332">
        <v>7418.83</v>
      </c>
      <c r="F153" s="332">
        <v>15243.26</v>
      </c>
    </row>
    <row r="154" spans="1:6">
      <c r="A154" s="330"/>
      <c r="B154" s="331" t="s">
        <v>240</v>
      </c>
      <c r="C154" s="331"/>
      <c r="D154" s="332">
        <v>0</v>
      </c>
      <c r="E154" s="332">
        <v>0</v>
      </c>
      <c r="F154" s="332">
        <v>0</v>
      </c>
    </row>
    <row r="155" spans="1:6">
      <c r="A155" s="330" t="s">
        <v>257</v>
      </c>
      <c r="B155" s="331"/>
      <c r="C155" s="331"/>
      <c r="D155" s="332">
        <v>7594.8799999999992</v>
      </c>
      <c r="E155" s="332">
        <v>3747.6800000000003</v>
      </c>
      <c r="F155" s="332">
        <v>11342.56</v>
      </c>
    </row>
    <row r="156" spans="1:6">
      <c r="A156" s="330"/>
      <c r="B156" s="331" t="s">
        <v>241</v>
      </c>
      <c r="C156" s="331"/>
      <c r="D156" s="332">
        <v>0</v>
      </c>
      <c r="E156" s="332">
        <v>0</v>
      </c>
      <c r="F156" s="332">
        <v>0</v>
      </c>
    </row>
    <row r="157" spans="1:6">
      <c r="A157" s="330"/>
      <c r="B157" s="331" t="s">
        <v>231</v>
      </c>
      <c r="C157" s="331"/>
      <c r="D157" s="332">
        <v>1696.61</v>
      </c>
      <c r="E157" s="332">
        <v>189.65</v>
      </c>
      <c r="F157" s="332">
        <v>1886.26</v>
      </c>
    </row>
    <row r="158" spans="1:6">
      <c r="A158" s="330"/>
      <c r="B158" s="331" t="s">
        <v>228</v>
      </c>
      <c r="C158" s="331"/>
      <c r="D158" s="332">
        <v>5898.2699999999995</v>
      </c>
      <c r="E158" s="332">
        <v>3558.03</v>
      </c>
      <c r="F158" s="332">
        <v>9456.2999999999993</v>
      </c>
    </row>
    <row r="159" spans="1:6">
      <c r="A159" s="330" t="s">
        <v>258</v>
      </c>
      <c r="B159" s="331"/>
      <c r="C159" s="331"/>
      <c r="D159" s="332">
        <v>0</v>
      </c>
      <c r="E159" s="332">
        <v>0</v>
      </c>
      <c r="F159" s="332">
        <v>0</v>
      </c>
    </row>
    <row r="160" spans="1:6">
      <c r="A160" s="330"/>
      <c r="B160" s="331" t="s">
        <v>231</v>
      </c>
      <c r="C160" s="331"/>
      <c r="D160" s="332">
        <v>0</v>
      </c>
      <c r="E160" s="332">
        <v>0</v>
      </c>
      <c r="F160" s="332">
        <v>0</v>
      </c>
    </row>
    <row r="161" spans="1:6">
      <c r="A161" s="330"/>
      <c r="B161" s="331" t="s">
        <v>228</v>
      </c>
      <c r="C161" s="331"/>
      <c r="D161" s="332">
        <v>0</v>
      </c>
      <c r="E161" s="332">
        <v>0</v>
      </c>
      <c r="F161" s="332">
        <v>0</v>
      </c>
    </row>
    <row r="162" spans="1:6">
      <c r="A162" s="330" t="s">
        <v>588</v>
      </c>
      <c r="B162" s="331"/>
      <c r="C162" s="331"/>
      <c r="D162" s="332">
        <v>0</v>
      </c>
      <c r="E162" s="332">
        <v>0</v>
      </c>
      <c r="F162" s="332">
        <v>0</v>
      </c>
    </row>
    <row r="163" spans="1:6">
      <c r="A163" s="330"/>
      <c r="B163" s="331" t="s">
        <v>264</v>
      </c>
      <c r="C163" s="331"/>
      <c r="D163" s="332">
        <v>0</v>
      </c>
      <c r="E163" s="332">
        <v>0</v>
      </c>
      <c r="F163" s="332">
        <v>0</v>
      </c>
    </row>
    <row r="164" spans="1:6">
      <c r="A164" s="330"/>
      <c r="B164" s="331" t="s">
        <v>241</v>
      </c>
      <c r="C164" s="331"/>
      <c r="D164" s="332">
        <v>0</v>
      </c>
      <c r="E164" s="332">
        <v>0</v>
      </c>
      <c r="F164" s="332">
        <v>0</v>
      </c>
    </row>
    <row r="165" spans="1:6">
      <c r="A165" s="330" t="s">
        <v>259</v>
      </c>
      <c r="B165" s="331"/>
      <c r="C165" s="331"/>
      <c r="D165" s="332">
        <v>38079.589999999997</v>
      </c>
      <c r="E165" s="332">
        <v>92572.19</v>
      </c>
      <c r="F165" s="332">
        <v>130651.78</v>
      </c>
    </row>
    <row r="166" spans="1:6">
      <c r="A166" s="330"/>
      <c r="B166" s="331" t="s">
        <v>238</v>
      </c>
      <c r="C166" s="331"/>
      <c r="D166" s="332">
        <v>161.63</v>
      </c>
      <c r="E166" s="332">
        <v>939.72</v>
      </c>
      <c r="F166" s="332">
        <v>1101.3499999999999</v>
      </c>
    </row>
    <row r="167" spans="1:6">
      <c r="A167" s="330"/>
      <c r="B167" s="331" t="s">
        <v>236</v>
      </c>
      <c r="C167" s="331"/>
      <c r="D167" s="332">
        <v>0</v>
      </c>
      <c r="E167" s="332">
        <v>0</v>
      </c>
      <c r="F167" s="332">
        <v>0</v>
      </c>
    </row>
    <row r="168" spans="1:6">
      <c r="A168" s="330"/>
      <c r="B168" s="331" t="s">
        <v>234</v>
      </c>
      <c r="C168" s="331"/>
      <c r="D168" s="332">
        <v>0</v>
      </c>
      <c r="E168" s="332">
        <v>0</v>
      </c>
      <c r="F168" s="332">
        <v>0</v>
      </c>
    </row>
    <row r="169" spans="1:6">
      <c r="A169" s="330"/>
      <c r="B169" s="331" t="s">
        <v>235</v>
      </c>
      <c r="C169" s="331"/>
      <c r="D169" s="332">
        <v>0</v>
      </c>
      <c r="E169" s="332">
        <v>0</v>
      </c>
      <c r="F169" s="332">
        <v>0</v>
      </c>
    </row>
    <row r="170" spans="1:6">
      <c r="A170" s="330"/>
      <c r="B170" s="331" t="s">
        <v>231</v>
      </c>
      <c r="C170" s="331"/>
      <c r="D170" s="332">
        <v>6036.7</v>
      </c>
      <c r="E170" s="332">
        <v>36244.25</v>
      </c>
      <c r="F170" s="332">
        <v>42280.95</v>
      </c>
    </row>
    <row r="171" spans="1:6">
      <c r="A171" s="330"/>
      <c r="B171" s="331" t="s">
        <v>228</v>
      </c>
      <c r="C171" s="331"/>
      <c r="D171" s="332">
        <v>30661.19</v>
      </c>
      <c r="E171" s="332">
        <v>52111.91</v>
      </c>
      <c r="F171" s="332">
        <v>82773.100000000006</v>
      </c>
    </row>
    <row r="172" spans="1:6">
      <c r="A172" s="330"/>
      <c r="B172" s="331" t="s">
        <v>240</v>
      </c>
      <c r="C172" s="331"/>
      <c r="D172" s="332">
        <v>1220.07</v>
      </c>
      <c r="E172" s="332">
        <v>3276.31</v>
      </c>
      <c r="F172" s="332">
        <v>4496.38</v>
      </c>
    </row>
    <row r="173" spans="1:6">
      <c r="A173" s="330" t="s">
        <v>589</v>
      </c>
      <c r="B173" s="331"/>
      <c r="C173" s="331"/>
      <c r="D173" s="332">
        <v>0</v>
      </c>
      <c r="E173" s="332">
        <v>0</v>
      </c>
      <c r="F173" s="332">
        <v>0</v>
      </c>
    </row>
    <row r="174" spans="1:6">
      <c r="A174" s="330"/>
      <c r="B174" s="331" t="s">
        <v>264</v>
      </c>
      <c r="C174" s="331"/>
      <c r="D174" s="332">
        <v>0</v>
      </c>
      <c r="E174" s="332">
        <v>0</v>
      </c>
      <c r="F174" s="332">
        <v>0</v>
      </c>
    </row>
    <row r="175" spans="1:6">
      <c r="A175" s="330"/>
      <c r="B175" s="331" t="s">
        <v>231</v>
      </c>
      <c r="C175" s="331"/>
      <c r="D175" s="332">
        <v>0</v>
      </c>
      <c r="E175" s="332">
        <v>0</v>
      </c>
      <c r="F175" s="332">
        <v>0</v>
      </c>
    </row>
    <row r="176" spans="1:6">
      <c r="A176" s="330" t="s">
        <v>260</v>
      </c>
      <c r="B176" s="331"/>
      <c r="C176" s="331"/>
      <c r="D176" s="332">
        <v>0</v>
      </c>
      <c r="E176" s="332">
        <v>0</v>
      </c>
      <c r="F176" s="332">
        <v>0</v>
      </c>
    </row>
    <row r="177" spans="1:6">
      <c r="A177" s="330"/>
      <c r="B177" s="331" t="s">
        <v>241</v>
      </c>
      <c r="C177" s="331"/>
      <c r="D177" s="332">
        <v>0</v>
      </c>
      <c r="E177" s="332">
        <v>0</v>
      </c>
      <c r="F177" s="332">
        <v>0</v>
      </c>
    </row>
    <row r="178" spans="1:6">
      <c r="A178" s="330" t="s">
        <v>590</v>
      </c>
      <c r="B178" s="331"/>
      <c r="C178" s="331"/>
      <c r="D178" s="332">
        <v>0</v>
      </c>
      <c r="E178" s="332">
        <v>0</v>
      </c>
      <c r="F178" s="332">
        <v>0</v>
      </c>
    </row>
    <row r="179" spans="1:6">
      <c r="A179" s="330"/>
      <c r="B179" s="331" t="s">
        <v>231</v>
      </c>
      <c r="C179" s="331"/>
      <c r="D179" s="332">
        <v>0</v>
      </c>
      <c r="E179" s="332">
        <v>0</v>
      </c>
      <c r="F179" s="332">
        <v>0</v>
      </c>
    </row>
    <row r="180" spans="1:6">
      <c r="A180" s="330" t="s">
        <v>591</v>
      </c>
      <c r="B180" s="331"/>
      <c r="C180" s="331"/>
      <c r="D180" s="332">
        <v>7.43</v>
      </c>
      <c r="E180" s="332">
        <v>43.49</v>
      </c>
      <c r="F180" s="332">
        <v>50.92</v>
      </c>
    </row>
    <row r="181" spans="1:6">
      <c r="A181" s="330"/>
      <c r="B181" s="331" t="s">
        <v>231</v>
      </c>
      <c r="C181" s="331"/>
      <c r="D181" s="332">
        <v>7.43</v>
      </c>
      <c r="E181" s="332">
        <v>43.49</v>
      </c>
      <c r="F181" s="332">
        <v>50.92</v>
      </c>
    </row>
    <row r="182" spans="1:6">
      <c r="A182" s="330" t="s">
        <v>261</v>
      </c>
      <c r="B182" s="333"/>
      <c r="C182" s="333"/>
      <c r="D182" s="332">
        <v>0</v>
      </c>
      <c r="E182" s="332">
        <v>4977.91</v>
      </c>
      <c r="F182" s="332">
        <v>4977.91</v>
      </c>
    </row>
    <row r="183" spans="1:6">
      <c r="A183" s="330"/>
      <c r="B183" s="333" t="s">
        <v>243</v>
      </c>
      <c r="C183" s="333"/>
      <c r="D183" s="332">
        <v>0</v>
      </c>
      <c r="E183" s="332">
        <v>4977.91</v>
      </c>
      <c r="F183" s="332">
        <v>4977.91</v>
      </c>
    </row>
    <row r="184" spans="1:6">
      <c r="A184" s="330" t="s">
        <v>262</v>
      </c>
      <c r="B184" s="333"/>
      <c r="C184" s="333"/>
      <c r="D184" s="332">
        <v>235347.96000000002</v>
      </c>
      <c r="E184" s="332">
        <v>1303777.9099999999</v>
      </c>
      <c r="F184" s="332">
        <v>1539125.8699999999</v>
      </c>
    </row>
    <row r="185" spans="1:6">
      <c r="A185" s="330"/>
      <c r="B185" s="333" t="s">
        <v>238</v>
      </c>
      <c r="C185" s="333"/>
      <c r="D185" s="332">
        <v>81779.81</v>
      </c>
      <c r="E185" s="332">
        <v>453998.89</v>
      </c>
      <c r="F185" s="332">
        <v>535778.69999999995</v>
      </c>
    </row>
    <row r="186" spans="1:6">
      <c r="A186" s="330"/>
      <c r="B186" s="333" t="s">
        <v>237</v>
      </c>
      <c r="C186" s="333"/>
      <c r="D186" s="332">
        <v>0</v>
      </c>
      <c r="E186" s="332">
        <v>0</v>
      </c>
      <c r="F186" s="332">
        <v>0</v>
      </c>
    </row>
    <row r="187" spans="1:6">
      <c r="A187" s="330"/>
      <c r="B187" s="333" t="s">
        <v>236</v>
      </c>
      <c r="C187" s="333"/>
      <c r="D187" s="332">
        <v>0</v>
      </c>
      <c r="E187" s="332">
        <v>0</v>
      </c>
      <c r="F187" s="332">
        <v>0</v>
      </c>
    </row>
    <row r="188" spans="1:6">
      <c r="A188" s="330"/>
      <c r="B188" s="333" t="s">
        <v>241</v>
      </c>
      <c r="C188" s="333"/>
      <c r="D188" s="332">
        <v>0</v>
      </c>
      <c r="E188" s="332">
        <v>0</v>
      </c>
      <c r="F188" s="332">
        <v>0</v>
      </c>
    </row>
    <row r="189" spans="1:6">
      <c r="A189" s="330"/>
      <c r="B189" s="333" t="s">
        <v>234</v>
      </c>
      <c r="C189" s="333"/>
      <c r="D189" s="332">
        <v>0</v>
      </c>
      <c r="E189" s="332">
        <v>0</v>
      </c>
      <c r="F189" s="332">
        <v>0</v>
      </c>
    </row>
    <row r="190" spans="1:6">
      <c r="A190" s="330"/>
      <c r="B190" s="333" t="s">
        <v>235</v>
      </c>
      <c r="C190" s="333"/>
      <c r="D190" s="332">
        <v>0</v>
      </c>
      <c r="E190" s="332">
        <v>0</v>
      </c>
      <c r="F190" s="332">
        <v>0</v>
      </c>
    </row>
    <row r="191" spans="1:6">
      <c r="A191" s="330"/>
      <c r="B191" s="333" t="s">
        <v>231</v>
      </c>
      <c r="C191" s="333"/>
      <c r="D191" s="332">
        <v>19522.349999999999</v>
      </c>
      <c r="E191" s="332">
        <v>137666.60999999999</v>
      </c>
      <c r="F191" s="332">
        <v>157188.96</v>
      </c>
    </row>
    <row r="192" spans="1:6">
      <c r="A192" s="330"/>
      <c r="B192" s="333" t="s">
        <v>239</v>
      </c>
      <c r="C192" s="333"/>
      <c r="D192" s="332">
        <v>68162.240000000005</v>
      </c>
      <c r="E192" s="332">
        <v>352301.71</v>
      </c>
      <c r="F192" s="332">
        <v>420463.95</v>
      </c>
    </row>
    <row r="193" spans="1:6">
      <c r="A193" s="330"/>
      <c r="B193" s="333" t="s">
        <v>228</v>
      </c>
      <c r="C193" s="333"/>
      <c r="D193" s="332">
        <v>36657.100000000006</v>
      </c>
      <c r="E193" s="332">
        <v>202877.44999999998</v>
      </c>
      <c r="F193" s="332">
        <v>239534.55</v>
      </c>
    </row>
    <row r="194" spans="1:6">
      <c r="A194" s="330"/>
      <c r="B194" s="333" t="s">
        <v>240</v>
      </c>
      <c r="C194" s="333"/>
      <c r="D194" s="332">
        <v>29226.46</v>
      </c>
      <c r="E194" s="332">
        <v>156933.25</v>
      </c>
      <c r="F194" s="332">
        <v>186159.71</v>
      </c>
    </row>
    <row r="195" spans="1:6">
      <c r="A195" s="330" t="s">
        <v>263</v>
      </c>
      <c r="B195" s="333"/>
      <c r="C195" s="333"/>
      <c r="D195" s="332">
        <v>447906.27</v>
      </c>
      <c r="E195" s="332">
        <v>0</v>
      </c>
      <c r="F195" s="332">
        <v>447906.27</v>
      </c>
    </row>
    <row r="196" spans="1:6">
      <c r="A196" s="330"/>
      <c r="B196" s="333" t="s">
        <v>243</v>
      </c>
      <c r="C196" s="333"/>
      <c r="D196" s="332">
        <v>525.94000000000005</v>
      </c>
      <c r="E196" s="332">
        <v>0</v>
      </c>
      <c r="F196" s="332">
        <v>525.94000000000005</v>
      </c>
    </row>
    <row r="197" spans="1:6">
      <c r="A197" s="330"/>
      <c r="B197" s="333" t="s">
        <v>238</v>
      </c>
      <c r="C197" s="333"/>
      <c r="D197" s="332">
        <v>400391.99</v>
      </c>
      <c r="E197" s="332">
        <v>0</v>
      </c>
      <c r="F197" s="332">
        <v>400391.99</v>
      </c>
    </row>
    <row r="198" spans="1:6">
      <c r="A198" s="330"/>
      <c r="B198" s="333" t="s">
        <v>237</v>
      </c>
      <c r="C198" s="333"/>
      <c r="D198" s="332">
        <v>0</v>
      </c>
      <c r="E198" s="332">
        <v>0</v>
      </c>
      <c r="F198" s="332">
        <v>0</v>
      </c>
    </row>
    <row r="199" spans="1:6">
      <c r="A199" s="330"/>
      <c r="B199" s="333" t="s">
        <v>264</v>
      </c>
      <c r="C199" s="333"/>
      <c r="D199" s="332">
        <v>0</v>
      </c>
      <c r="E199" s="332">
        <v>0</v>
      </c>
      <c r="F199" s="332">
        <v>0</v>
      </c>
    </row>
    <row r="200" spans="1:6">
      <c r="A200" s="330"/>
      <c r="B200" s="333" t="s">
        <v>236</v>
      </c>
      <c r="C200" s="333"/>
      <c r="D200" s="332">
        <v>0</v>
      </c>
      <c r="E200" s="332">
        <v>0</v>
      </c>
      <c r="F200" s="332">
        <v>0</v>
      </c>
    </row>
    <row r="201" spans="1:6">
      <c r="A201" s="330"/>
      <c r="B201" s="333" t="s">
        <v>241</v>
      </c>
      <c r="C201" s="333"/>
      <c r="D201" s="332">
        <v>0</v>
      </c>
      <c r="E201" s="332">
        <v>0</v>
      </c>
      <c r="F201" s="332">
        <v>0</v>
      </c>
    </row>
    <row r="202" spans="1:6">
      <c r="A202" s="330"/>
      <c r="B202" s="333" t="s">
        <v>235</v>
      </c>
      <c r="C202" s="333"/>
      <c r="D202" s="332">
        <v>0</v>
      </c>
      <c r="E202" s="332">
        <v>0</v>
      </c>
      <c r="F202" s="332">
        <v>0</v>
      </c>
    </row>
    <row r="203" spans="1:6">
      <c r="A203" s="330"/>
      <c r="B203" s="333" t="s">
        <v>242</v>
      </c>
      <c r="C203" s="333"/>
      <c r="D203" s="332">
        <v>0</v>
      </c>
      <c r="E203" s="332">
        <v>0</v>
      </c>
      <c r="F203" s="332">
        <v>0</v>
      </c>
    </row>
    <row r="204" spans="1:6">
      <c r="A204" s="330"/>
      <c r="B204" s="333" t="s">
        <v>250</v>
      </c>
      <c r="C204" s="333"/>
      <c r="D204" s="332">
        <v>0</v>
      </c>
      <c r="E204" s="332">
        <v>0</v>
      </c>
      <c r="F204" s="332">
        <v>0</v>
      </c>
    </row>
    <row r="205" spans="1:6">
      <c r="A205" s="330"/>
      <c r="B205" s="333" t="s">
        <v>234</v>
      </c>
      <c r="C205" s="333"/>
      <c r="D205" s="332">
        <v>0</v>
      </c>
      <c r="E205" s="332">
        <v>0</v>
      </c>
      <c r="F205" s="332">
        <v>0</v>
      </c>
    </row>
    <row r="206" spans="1:6">
      <c r="A206" s="330"/>
      <c r="B206" s="333" t="s">
        <v>231</v>
      </c>
      <c r="C206" s="333"/>
      <c r="D206" s="332">
        <v>3971.26</v>
      </c>
      <c r="E206" s="332">
        <v>0</v>
      </c>
      <c r="F206" s="332">
        <v>3971.26</v>
      </c>
    </row>
    <row r="207" spans="1:6">
      <c r="A207" s="330"/>
      <c r="B207" s="333" t="s">
        <v>239</v>
      </c>
      <c r="C207" s="333"/>
      <c r="D207" s="332">
        <v>4591.1100000000006</v>
      </c>
      <c r="E207" s="332">
        <v>0</v>
      </c>
      <c r="F207" s="332">
        <v>4591.1100000000006</v>
      </c>
    </row>
    <row r="208" spans="1:6">
      <c r="A208" s="330"/>
      <c r="B208" s="333" t="s">
        <v>228</v>
      </c>
      <c r="C208" s="333"/>
      <c r="D208" s="332">
        <v>11232.95</v>
      </c>
      <c r="E208" s="332">
        <v>0</v>
      </c>
      <c r="F208" s="332">
        <v>11232.95</v>
      </c>
    </row>
    <row r="209" spans="1:6">
      <c r="A209" s="330"/>
      <c r="B209" s="333" t="s">
        <v>240</v>
      </c>
      <c r="C209" s="333"/>
      <c r="D209" s="332">
        <v>27193.02</v>
      </c>
      <c r="E209" s="332">
        <v>0</v>
      </c>
      <c r="F209" s="332">
        <v>27193.02</v>
      </c>
    </row>
    <row r="210" spans="1:6">
      <c r="A210" s="330" t="s">
        <v>265</v>
      </c>
      <c r="B210" s="333"/>
      <c r="C210" s="333"/>
      <c r="D210" s="332">
        <v>5862706.6399999987</v>
      </c>
      <c r="E210" s="332">
        <v>0</v>
      </c>
      <c r="F210" s="332">
        <v>5862706.6399999987</v>
      </c>
    </row>
    <row r="211" spans="1:6">
      <c r="A211" s="330"/>
      <c r="B211" s="333" t="s">
        <v>243</v>
      </c>
      <c r="C211" s="333"/>
      <c r="D211" s="332">
        <v>122410.25</v>
      </c>
      <c r="E211" s="332">
        <v>0</v>
      </c>
      <c r="F211" s="332">
        <v>122410.25</v>
      </c>
    </row>
    <row r="212" spans="1:6">
      <c r="A212" s="330"/>
      <c r="B212" s="333" t="s">
        <v>238</v>
      </c>
      <c r="C212" s="333"/>
      <c r="D212" s="332">
        <v>1719510.9</v>
      </c>
      <c r="E212" s="332">
        <v>0</v>
      </c>
      <c r="F212" s="332">
        <v>1719510.9</v>
      </c>
    </row>
    <row r="213" spans="1:6">
      <c r="A213" s="330"/>
      <c r="B213" s="333" t="s">
        <v>586</v>
      </c>
      <c r="C213" s="333"/>
      <c r="D213" s="332">
        <v>0</v>
      </c>
      <c r="E213" s="332">
        <v>0</v>
      </c>
      <c r="F213" s="332">
        <v>0</v>
      </c>
    </row>
    <row r="214" spans="1:6">
      <c r="A214" s="330"/>
      <c r="B214" s="333" t="s">
        <v>237</v>
      </c>
      <c r="C214" s="333"/>
      <c r="D214" s="332">
        <v>0</v>
      </c>
      <c r="E214" s="332">
        <v>0</v>
      </c>
      <c r="F214" s="332">
        <v>0</v>
      </c>
    </row>
    <row r="215" spans="1:6">
      <c r="A215" s="330"/>
      <c r="B215" s="333" t="s">
        <v>264</v>
      </c>
      <c r="C215" s="333"/>
      <c r="D215" s="332">
        <v>0</v>
      </c>
      <c r="E215" s="332">
        <v>0</v>
      </c>
      <c r="F215" s="332">
        <v>0</v>
      </c>
    </row>
    <row r="216" spans="1:6">
      <c r="A216" s="330"/>
      <c r="B216" s="333" t="s">
        <v>236</v>
      </c>
      <c r="C216" s="333"/>
      <c r="D216" s="332">
        <v>0</v>
      </c>
      <c r="E216" s="332">
        <v>0</v>
      </c>
      <c r="F216" s="332">
        <v>0</v>
      </c>
    </row>
    <row r="217" spans="1:6">
      <c r="A217" s="330"/>
      <c r="B217" s="333" t="s">
        <v>241</v>
      </c>
      <c r="C217" s="333"/>
      <c r="D217" s="332">
        <v>0</v>
      </c>
      <c r="E217" s="332">
        <v>0</v>
      </c>
      <c r="F217" s="332">
        <v>0</v>
      </c>
    </row>
    <row r="218" spans="1:6">
      <c r="A218" s="330"/>
      <c r="B218" s="333" t="s">
        <v>235</v>
      </c>
      <c r="C218" s="333"/>
      <c r="D218" s="332">
        <v>0</v>
      </c>
      <c r="E218" s="332">
        <v>0</v>
      </c>
      <c r="F218" s="332">
        <v>0</v>
      </c>
    </row>
    <row r="219" spans="1:6">
      <c r="A219" s="330"/>
      <c r="B219" s="333" t="s">
        <v>250</v>
      </c>
      <c r="C219" s="333"/>
      <c r="D219" s="332">
        <v>0</v>
      </c>
      <c r="E219" s="332">
        <v>0</v>
      </c>
      <c r="F219" s="332">
        <v>0</v>
      </c>
    </row>
    <row r="220" spans="1:6">
      <c r="A220" s="330"/>
      <c r="B220" s="333" t="s">
        <v>242</v>
      </c>
      <c r="C220" s="333"/>
      <c r="D220" s="332">
        <v>0</v>
      </c>
      <c r="E220" s="332">
        <v>0</v>
      </c>
      <c r="F220" s="332">
        <v>0</v>
      </c>
    </row>
    <row r="221" spans="1:6">
      <c r="A221" s="330"/>
      <c r="B221" s="333" t="s">
        <v>234</v>
      </c>
      <c r="C221" s="333"/>
      <c r="D221" s="332">
        <v>0</v>
      </c>
      <c r="E221" s="332">
        <v>0</v>
      </c>
      <c r="F221" s="332">
        <v>0</v>
      </c>
    </row>
    <row r="222" spans="1:6">
      <c r="A222" s="330"/>
      <c r="B222" s="333" t="s">
        <v>231</v>
      </c>
      <c r="C222" s="333"/>
      <c r="D222" s="332">
        <v>92885.819999999992</v>
      </c>
      <c r="E222" s="332">
        <v>0</v>
      </c>
      <c r="F222" s="332">
        <v>92885.819999999992</v>
      </c>
    </row>
    <row r="223" spans="1:6">
      <c r="A223" s="330"/>
      <c r="B223" s="333" t="s">
        <v>239</v>
      </c>
      <c r="C223" s="333"/>
      <c r="D223" s="332">
        <v>1947878</v>
      </c>
      <c r="E223" s="332">
        <v>0</v>
      </c>
      <c r="F223" s="332">
        <v>1947878</v>
      </c>
    </row>
    <row r="224" spans="1:6">
      <c r="A224" s="330"/>
      <c r="B224" s="333" t="s">
        <v>228</v>
      </c>
      <c r="C224" s="333"/>
      <c r="D224" s="332">
        <v>617469.98</v>
      </c>
      <c r="E224" s="332">
        <v>0</v>
      </c>
      <c r="F224" s="332">
        <v>617469.98</v>
      </c>
    </row>
    <row r="225" spans="1:6">
      <c r="A225" s="330"/>
      <c r="B225" s="333" t="s">
        <v>240</v>
      </c>
      <c r="C225" s="333"/>
      <c r="D225" s="332">
        <v>1362551.69</v>
      </c>
      <c r="E225" s="332">
        <v>0</v>
      </c>
      <c r="F225" s="332">
        <v>1362551.69</v>
      </c>
    </row>
    <row r="226" spans="1:6">
      <c r="A226" s="330" t="s">
        <v>266</v>
      </c>
      <c r="B226" s="333"/>
      <c r="C226" s="333"/>
      <c r="D226" s="332">
        <v>188.60000000000002</v>
      </c>
      <c r="E226" s="332">
        <v>938.87</v>
      </c>
      <c r="F226" s="332">
        <v>1127.47</v>
      </c>
    </row>
    <row r="227" spans="1:6">
      <c r="A227" s="330"/>
      <c r="B227" s="333" t="s">
        <v>239</v>
      </c>
      <c r="C227" s="333"/>
      <c r="D227" s="332">
        <v>188.60000000000002</v>
      </c>
      <c r="E227" s="332">
        <v>938.87</v>
      </c>
      <c r="F227" s="332">
        <v>1127.47</v>
      </c>
    </row>
    <row r="228" spans="1:6">
      <c r="A228" s="330" t="s">
        <v>267</v>
      </c>
      <c r="B228" s="333"/>
      <c r="C228" s="333"/>
      <c r="D228" s="332">
        <v>908595.12999999989</v>
      </c>
      <c r="E228" s="332">
        <v>0</v>
      </c>
      <c r="F228" s="332">
        <v>908595.12999999989</v>
      </c>
    </row>
    <row r="229" spans="1:6">
      <c r="A229" s="330"/>
      <c r="B229" s="333" t="s">
        <v>243</v>
      </c>
      <c r="C229" s="333"/>
      <c r="D229" s="332">
        <v>2882.33</v>
      </c>
      <c r="E229" s="332">
        <v>0</v>
      </c>
      <c r="F229" s="332">
        <v>2882.33</v>
      </c>
    </row>
    <row r="230" spans="1:6">
      <c r="A230" s="330"/>
      <c r="B230" s="333" t="s">
        <v>238</v>
      </c>
      <c r="C230" s="333"/>
      <c r="D230" s="332">
        <v>258153.2</v>
      </c>
      <c r="E230" s="332">
        <v>0</v>
      </c>
      <c r="F230" s="332">
        <v>258153.2</v>
      </c>
    </row>
    <row r="231" spans="1:6">
      <c r="A231" s="330"/>
      <c r="B231" s="333" t="s">
        <v>237</v>
      </c>
      <c r="C231" s="333"/>
      <c r="D231" s="332">
        <v>0</v>
      </c>
      <c r="E231" s="332">
        <v>0</v>
      </c>
      <c r="F231" s="332">
        <v>0</v>
      </c>
    </row>
    <row r="232" spans="1:6">
      <c r="A232" s="330"/>
      <c r="B232" s="333" t="s">
        <v>236</v>
      </c>
      <c r="C232" s="333"/>
      <c r="D232" s="332">
        <v>0</v>
      </c>
      <c r="E232" s="332">
        <v>0</v>
      </c>
      <c r="F232" s="332">
        <v>0</v>
      </c>
    </row>
    <row r="233" spans="1:6">
      <c r="A233" s="330"/>
      <c r="B233" s="333" t="s">
        <v>241</v>
      </c>
      <c r="C233" s="333"/>
      <c r="D233" s="332">
        <v>0</v>
      </c>
      <c r="E233" s="332">
        <v>0</v>
      </c>
      <c r="F233" s="332">
        <v>0</v>
      </c>
    </row>
    <row r="234" spans="1:6">
      <c r="A234" s="330"/>
      <c r="B234" s="333" t="s">
        <v>235</v>
      </c>
      <c r="C234" s="333"/>
      <c r="D234" s="332">
        <v>0</v>
      </c>
      <c r="E234" s="332">
        <v>0</v>
      </c>
      <c r="F234" s="332">
        <v>0</v>
      </c>
    </row>
    <row r="235" spans="1:6">
      <c r="A235" s="330"/>
      <c r="B235" s="333" t="s">
        <v>234</v>
      </c>
      <c r="C235" s="333"/>
      <c r="D235" s="332">
        <v>0</v>
      </c>
      <c r="E235" s="332">
        <v>0</v>
      </c>
      <c r="F235" s="332">
        <v>0</v>
      </c>
    </row>
    <row r="236" spans="1:6">
      <c r="A236" s="330"/>
      <c r="B236" s="333" t="s">
        <v>231</v>
      </c>
      <c r="C236" s="333"/>
      <c r="D236" s="332">
        <v>170130.45</v>
      </c>
      <c r="E236" s="332">
        <v>0</v>
      </c>
      <c r="F236" s="332">
        <v>170130.45</v>
      </c>
    </row>
    <row r="237" spans="1:6">
      <c r="A237" s="330"/>
      <c r="B237" s="333" t="s">
        <v>239</v>
      </c>
      <c r="C237" s="333"/>
      <c r="D237" s="332">
        <v>183002.18</v>
      </c>
      <c r="E237" s="332">
        <v>0</v>
      </c>
      <c r="F237" s="332">
        <v>183002.18</v>
      </c>
    </row>
    <row r="238" spans="1:6">
      <c r="A238" s="330"/>
      <c r="B238" s="333" t="s">
        <v>228</v>
      </c>
      <c r="C238" s="333"/>
      <c r="D238" s="332">
        <v>201349.24</v>
      </c>
      <c r="E238" s="332">
        <v>0</v>
      </c>
      <c r="F238" s="332">
        <v>201349.24</v>
      </c>
    </row>
    <row r="239" spans="1:6">
      <c r="A239" s="330"/>
      <c r="B239" s="333" t="s">
        <v>240</v>
      </c>
      <c r="C239" s="333"/>
      <c r="D239" s="332">
        <v>93077.73000000001</v>
      </c>
      <c r="E239" s="332">
        <v>0</v>
      </c>
      <c r="F239" s="332">
        <v>93077.73000000001</v>
      </c>
    </row>
    <row r="240" spans="1:6">
      <c r="A240" s="330" t="s">
        <v>268</v>
      </c>
      <c r="B240" s="333"/>
      <c r="C240" s="333"/>
      <c r="D240" s="332">
        <v>334280.99000000005</v>
      </c>
      <c r="E240" s="332">
        <v>6070.0000000000009</v>
      </c>
      <c r="F240" s="332">
        <v>340350.99</v>
      </c>
    </row>
    <row r="241" spans="1:6">
      <c r="A241" s="330"/>
      <c r="B241" s="333" t="s">
        <v>238</v>
      </c>
      <c r="C241" s="333"/>
      <c r="D241" s="332">
        <v>309811.55000000005</v>
      </c>
      <c r="E241" s="332">
        <v>4627.3</v>
      </c>
      <c r="F241" s="332">
        <v>314438.85000000003</v>
      </c>
    </row>
    <row r="242" spans="1:6">
      <c r="A242" s="330"/>
      <c r="B242" s="333" t="s">
        <v>237</v>
      </c>
      <c r="C242" s="333"/>
      <c r="D242" s="332">
        <v>0</v>
      </c>
      <c r="E242" s="332">
        <v>0</v>
      </c>
      <c r="F242" s="332">
        <v>0</v>
      </c>
    </row>
    <row r="243" spans="1:6">
      <c r="A243" s="330"/>
      <c r="B243" s="333" t="s">
        <v>236</v>
      </c>
      <c r="C243" s="333"/>
      <c r="D243" s="332">
        <v>0</v>
      </c>
      <c r="E243" s="332">
        <v>0</v>
      </c>
      <c r="F243" s="332">
        <v>0</v>
      </c>
    </row>
    <row r="244" spans="1:6">
      <c r="A244" s="330"/>
      <c r="B244" s="333" t="s">
        <v>234</v>
      </c>
      <c r="C244" s="333"/>
      <c r="D244" s="332">
        <v>0</v>
      </c>
      <c r="E244" s="332">
        <v>0</v>
      </c>
      <c r="F244" s="332">
        <v>0</v>
      </c>
    </row>
    <row r="245" spans="1:6">
      <c r="A245" s="330"/>
      <c r="B245" s="333" t="s">
        <v>228</v>
      </c>
      <c r="C245" s="333"/>
      <c r="D245" s="332">
        <v>54.3</v>
      </c>
      <c r="E245" s="332">
        <v>444.56</v>
      </c>
      <c r="F245" s="332">
        <v>498.86</v>
      </c>
    </row>
    <row r="246" spans="1:6">
      <c r="A246" s="330"/>
      <c r="B246" s="333" t="s">
        <v>240</v>
      </c>
      <c r="C246" s="333"/>
      <c r="D246" s="332">
        <v>24415.14</v>
      </c>
      <c r="E246" s="332">
        <v>998.14</v>
      </c>
      <c r="F246" s="332">
        <v>25413.279999999999</v>
      </c>
    </row>
    <row r="247" spans="1:6">
      <c r="A247" s="330" t="s">
        <v>269</v>
      </c>
      <c r="B247" s="333"/>
      <c r="C247" s="333"/>
      <c r="D247" s="332">
        <v>0</v>
      </c>
      <c r="E247" s="332">
        <v>0</v>
      </c>
      <c r="F247" s="332">
        <v>0</v>
      </c>
    </row>
    <row r="248" spans="1:6">
      <c r="A248" s="330"/>
      <c r="B248" s="333" t="s">
        <v>236</v>
      </c>
      <c r="C248" s="333"/>
      <c r="D248" s="332">
        <v>0</v>
      </c>
      <c r="E248" s="332">
        <v>0</v>
      </c>
      <c r="F248" s="332">
        <v>0</v>
      </c>
    </row>
    <row r="249" spans="1:6">
      <c r="A249" s="330" t="s">
        <v>270</v>
      </c>
      <c r="B249" s="333"/>
      <c r="C249" s="333"/>
      <c r="D249" s="332">
        <v>8137.94</v>
      </c>
      <c r="E249" s="332">
        <v>0</v>
      </c>
      <c r="F249" s="332">
        <v>8137.94</v>
      </c>
    </row>
    <row r="250" spans="1:6">
      <c r="A250" s="330"/>
      <c r="B250" s="333" t="s">
        <v>238</v>
      </c>
      <c r="C250" s="333"/>
      <c r="D250" s="332">
        <v>5009.53</v>
      </c>
      <c r="E250" s="332">
        <v>0</v>
      </c>
      <c r="F250" s="332">
        <v>5009.53</v>
      </c>
    </row>
    <row r="251" spans="1:6">
      <c r="A251" s="330"/>
      <c r="B251" s="333" t="s">
        <v>234</v>
      </c>
      <c r="C251" s="333"/>
      <c r="D251" s="332">
        <v>0</v>
      </c>
      <c r="E251" s="332">
        <v>0</v>
      </c>
      <c r="F251" s="332">
        <v>0</v>
      </c>
    </row>
    <row r="252" spans="1:6">
      <c r="A252" s="330"/>
      <c r="B252" s="333" t="s">
        <v>239</v>
      </c>
      <c r="C252" s="333"/>
      <c r="D252" s="332">
        <v>3081.85</v>
      </c>
      <c r="E252" s="332">
        <v>0</v>
      </c>
      <c r="F252" s="332">
        <v>3081.85</v>
      </c>
    </row>
    <row r="253" spans="1:6">
      <c r="A253" s="330"/>
      <c r="B253" s="333" t="s">
        <v>240</v>
      </c>
      <c r="C253" s="333"/>
      <c r="D253" s="332">
        <v>46.56</v>
      </c>
      <c r="E253" s="332">
        <v>0</v>
      </c>
      <c r="F253" s="332">
        <v>46.56</v>
      </c>
    </row>
    <row r="254" spans="1:6">
      <c r="A254" s="330" t="s">
        <v>271</v>
      </c>
      <c r="B254" s="333"/>
      <c r="C254" s="333"/>
      <c r="D254" s="332">
        <v>1819.77</v>
      </c>
      <c r="E254" s="332">
        <v>9298.3900000000012</v>
      </c>
      <c r="F254" s="332">
        <v>11118.160000000002</v>
      </c>
    </row>
    <row r="255" spans="1:6">
      <c r="A255" s="330"/>
      <c r="B255" s="333" t="s">
        <v>231</v>
      </c>
      <c r="C255" s="333"/>
      <c r="D255" s="332">
        <v>1768.01</v>
      </c>
      <c r="E255" s="332">
        <v>9226.36</v>
      </c>
      <c r="F255" s="332">
        <v>10994.37</v>
      </c>
    </row>
    <row r="256" spans="1:6">
      <c r="A256" s="330"/>
      <c r="B256" s="333" t="s">
        <v>228</v>
      </c>
      <c r="C256" s="333"/>
      <c r="D256" s="332">
        <v>51.76</v>
      </c>
      <c r="E256" s="332">
        <v>72.03</v>
      </c>
      <c r="F256" s="332">
        <v>123.78999999999999</v>
      </c>
    </row>
    <row r="257" spans="1:6">
      <c r="A257" s="330" t="s">
        <v>592</v>
      </c>
      <c r="B257" s="333"/>
      <c r="C257" s="333"/>
      <c r="D257" s="332">
        <v>175.22</v>
      </c>
      <c r="E257" s="332">
        <v>0</v>
      </c>
      <c r="F257" s="332">
        <v>175.22</v>
      </c>
    </row>
    <row r="258" spans="1:6">
      <c r="A258" s="330"/>
      <c r="B258" s="333" t="s">
        <v>240</v>
      </c>
      <c r="C258" s="333"/>
      <c r="D258" s="332">
        <v>175.22</v>
      </c>
      <c r="E258" s="332">
        <v>0</v>
      </c>
      <c r="F258" s="332">
        <v>175.22</v>
      </c>
    </row>
    <row r="259" spans="1:6">
      <c r="A259" s="330" t="s">
        <v>272</v>
      </c>
      <c r="B259" s="333"/>
      <c r="C259" s="333"/>
      <c r="D259" s="332">
        <v>1285.27</v>
      </c>
      <c r="E259" s="332">
        <v>913.33</v>
      </c>
      <c r="F259" s="332">
        <v>2198.6000000000004</v>
      </c>
    </row>
    <row r="260" spans="1:6">
      <c r="A260" s="330"/>
      <c r="B260" s="333" t="s">
        <v>243</v>
      </c>
      <c r="C260" s="333"/>
      <c r="D260" s="332">
        <v>1109.99</v>
      </c>
      <c r="E260" s="332">
        <v>0</v>
      </c>
      <c r="F260" s="332">
        <v>1109.99</v>
      </c>
    </row>
    <row r="261" spans="1:6">
      <c r="A261" s="330"/>
      <c r="B261" s="333" t="s">
        <v>586</v>
      </c>
      <c r="C261" s="333"/>
      <c r="D261" s="332">
        <v>0</v>
      </c>
      <c r="E261" s="332">
        <v>0</v>
      </c>
      <c r="F261" s="332">
        <v>0</v>
      </c>
    </row>
    <row r="262" spans="1:6">
      <c r="A262" s="334"/>
      <c r="B262" s="333" t="s">
        <v>264</v>
      </c>
      <c r="C262" s="333"/>
      <c r="D262" s="332">
        <v>0</v>
      </c>
      <c r="E262" s="332">
        <v>0</v>
      </c>
      <c r="F262" s="332">
        <v>0</v>
      </c>
    </row>
    <row r="263" spans="1:6">
      <c r="A263" s="334"/>
      <c r="B263" s="333" t="s">
        <v>242</v>
      </c>
      <c r="C263" s="333"/>
      <c r="D263" s="332">
        <v>0</v>
      </c>
      <c r="E263" s="332">
        <v>0</v>
      </c>
      <c r="F263" s="332">
        <v>0</v>
      </c>
    </row>
    <row r="264" spans="1:6">
      <c r="A264" s="334"/>
      <c r="B264" s="333" t="s">
        <v>241</v>
      </c>
      <c r="C264" s="333"/>
      <c r="D264" s="332">
        <v>0</v>
      </c>
      <c r="E264" s="332">
        <v>0</v>
      </c>
      <c r="F264" s="332">
        <v>0</v>
      </c>
    </row>
    <row r="265" spans="1:6">
      <c r="A265" s="334"/>
      <c r="B265" s="333" t="s">
        <v>250</v>
      </c>
      <c r="C265" s="333"/>
      <c r="D265" s="332">
        <v>0</v>
      </c>
      <c r="E265" s="332">
        <v>0</v>
      </c>
      <c r="F265" s="332">
        <v>0</v>
      </c>
    </row>
    <row r="266" spans="1:6">
      <c r="A266" s="334"/>
      <c r="B266" s="333" t="s">
        <v>231</v>
      </c>
      <c r="C266" s="333"/>
      <c r="D266" s="332">
        <v>175.28</v>
      </c>
      <c r="E266" s="332">
        <v>913.33</v>
      </c>
      <c r="F266" s="332">
        <v>1088.6100000000001</v>
      </c>
    </row>
    <row r="267" spans="1:6">
      <c r="A267" s="335" t="s">
        <v>273</v>
      </c>
      <c r="B267" s="333"/>
      <c r="C267" s="333"/>
      <c r="D267" s="332">
        <v>8970041.4000000004</v>
      </c>
      <c r="E267" s="332">
        <v>1698892.0000000002</v>
      </c>
      <c r="F267" s="332">
        <v>10668933.4</v>
      </c>
    </row>
    <row r="268" spans="1:6">
      <c r="A268" s="333"/>
      <c r="B268" s="333"/>
      <c r="C268" s="333"/>
      <c r="D268" s="333"/>
      <c r="E268" s="333"/>
      <c r="F268" s="333"/>
    </row>
  </sheetData>
  <mergeCells count="6">
    <mergeCell ref="D7:F7"/>
    <mergeCell ref="A1:F1"/>
    <mergeCell ref="A2:F2"/>
    <mergeCell ref="A3:F3"/>
    <mergeCell ref="A4:F4"/>
    <mergeCell ref="A5:F5"/>
  </mergeCells>
  <printOptions horizontalCentered="1"/>
  <pageMargins left="0.7" right="0.7" top="0.75" bottom="0.75" header="0.3" footer="0.3"/>
  <pageSetup scale="62" fitToHeight="3" orientation="portrait"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B9" sqref="B9"/>
    </sheetView>
  </sheetViews>
  <sheetFormatPr defaultColWidth="9.109375" defaultRowHeight="13.2"/>
  <cols>
    <col min="1" max="1" width="28.5546875" style="195" bestFit="1" customWidth="1"/>
    <col min="2" max="2" width="8.5546875" style="195" customWidth="1"/>
    <col min="3" max="3" width="2.6640625" style="195" customWidth="1"/>
    <col min="4" max="8" width="8.6640625" style="195" customWidth="1"/>
    <col min="9" max="9" width="9.44140625" style="195" bestFit="1" customWidth="1"/>
    <col min="10" max="16384" width="9.109375" style="195"/>
  </cols>
  <sheetData>
    <row r="1" spans="1:9" s="120" customFormat="1" ht="13.8">
      <c r="A1" s="447" t="s">
        <v>0</v>
      </c>
      <c r="B1" s="447"/>
      <c r="C1" s="447"/>
      <c r="D1" s="447"/>
      <c r="E1" s="447"/>
      <c r="F1" s="447"/>
      <c r="G1" s="447"/>
      <c r="H1" s="447"/>
      <c r="I1" s="447"/>
    </row>
    <row r="2" spans="1:9" s="120" customFormat="1" ht="13.8">
      <c r="A2" s="447" t="s">
        <v>274</v>
      </c>
      <c r="B2" s="447"/>
      <c r="C2" s="447"/>
      <c r="D2" s="447"/>
      <c r="E2" s="447"/>
      <c r="F2" s="447"/>
      <c r="G2" s="447"/>
      <c r="H2" s="447"/>
      <c r="I2" s="447"/>
    </row>
    <row r="3" spans="1:9" s="120" customFormat="1" ht="13.8">
      <c r="A3" s="447" t="s">
        <v>694</v>
      </c>
      <c r="B3" s="447"/>
      <c r="C3" s="447"/>
      <c r="D3" s="447"/>
      <c r="E3" s="447"/>
      <c r="F3" s="447"/>
      <c r="G3" s="447"/>
      <c r="H3" s="447"/>
      <c r="I3" s="447"/>
    </row>
    <row r="4" spans="1:9" s="120" customFormat="1" ht="13.8">
      <c r="A4" s="447" t="s">
        <v>579</v>
      </c>
      <c r="B4" s="447"/>
      <c r="C4" s="447"/>
      <c r="D4" s="447"/>
      <c r="E4" s="447"/>
      <c r="F4" s="447"/>
      <c r="G4" s="447"/>
      <c r="H4" s="447"/>
      <c r="I4" s="447"/>
    </row>
    <row r="5" spans="1:9" s="120" customFormat="1" ht="13.8">
      <c r="A5" s="116"/>
      <c r="B5" s="116"/>
      <c r="C5" s="121"/>
      <c r="D5" s="121"/>
      <c r="E5" s="170"/>
      <c r="F5" s="121"/>
      <c r="G5" s="121"/>
    </row>
    <row r="6" spans="1:9">
      <c r="A6" s="199"/>
      <c r="B6" s="199"/>
      <c r="C6" s="199"/>
      <c r="D6" s="199"/>
      <c r="E6" s="199"/>
      <c r="F6" s="199"/>
      <c r="G6" s="199"/>
      <c r="H6" s="199"/>
      <c r="I6" s="199"/>
    </row>
    <row r="7" spans="1:9">
      <c r="A7" s="199"/>
      <c r="B7" s="196" t="s">
        <v>34</v>
      </c>
      <c r="C7" s="197"/>
      <c r="D7" s="196" t="s">
        <v>35</v>
      </c>
      <c r="E7" s="196" t="s">
        <v>36</v>
      </c>
      <c r="F7" s="196" t="s">
        <v>37</v>
      </c>
      <c r="G7" s="196" t="s">
        <v>38</v>
      </c>
      <c r="H7" s="196" t="s">
        <v>25</v>
      </c>
      <c r="I7" s="196" t="s">
        <v>46</v>
      </c>
    </row>
    <row r="8" spans="1:9">
      <c r="A8" s="293" t="s">
        <v>702</v>
      </c>
      <c r="B8" s="200">
        <v>1</v>
      </c>
      <c r="C8" s="201"/>
      <c r="D8" s="200">
        <v>0.22399814780642607</v>
      </c>
      <c r="E8" s="200">
        <v>0.34104682001762004</v>
      </c>
      <c r="F8" s="200">
        <v>0.17102448296271053</v>
      </c>
      <c r="G8" s="200">
        <v>5.7247541013938093E-2</v>
      </c>
      <c r="H8" s="200">
        <v>0.20668300819930527</v>
      </c>
      <c r="I8" s="200">
        <v>1</v>
      </c>
    </row>
    <row r="9" spans="1:9">
      <c r="A9" s="198" t="s">
        <v>198</v>
      </c>
      <c r="B9" s="200"/>
      <c r="C9" s="201"/>
      <c r="D9" s="200"/>
      <c r="E9" s="200"/>
      <c r="F9" s="200"/>
      <c r="G9" s="200"/>
      <c r="H9" s="200"/>
      <c r="I9" s="200"/>
    </row>
    <row r="10" spans="1:9">
      <c r="A10" s="199" t="s">
        <v>650</v>
      </c>
      <c r="B10" s="202">
        <v>10565.58</v>
      </c>
      <c r="C10" s="203"/>
      <c r="D10" s="204"/>
      <c r="E10" s="204"/>
      <c r="F10" s="204"/>
      <c r="G10" s="204"/>
      <c r="H10" s="204"/>
      <c r="I10" s="204">
        <v>10565.58</v>
      </c>
    </row>
    <row r="11" spans="1:9">
      <c r="A11" s="199" t="s">
        <v>651</v>
      </c>
      <c r="B11" s="205"/>
      <c r="C11" s="206"/>
      <c r="D11" s="207">
        <v>5707.1368088860263</v>
      </c>
      <c r="E11" s="207">
        <v>8689.3614038189316</v>
      </c>
      <c r="F11" s="207">
        <v>4357.4472891654195</v>
      </c>
      <c r="G11" s="207">
        <v>1458.5814737236215</v>
      </c>
      <c r="H11" s="207">
        <v>5265.9730244059983</v>
      </c>
      <c r="I11" s="205">
        <v>25478.499999999996</v>
      </c>
    </row>
    <row r="12" spans="1:9">
      <c r="A12" s="199" t="s">
        <v>46</v>
      </c>
      <c r="B12" s="204">
        <v>10565.58</v>
      </c>
      <c r="C12" s="203"/>
      <c r="D12" s="204">
        <v>5707.1368088860263</v>
      </c>
      <c r="E12" s="204">
        <v>8689.3614038189316</v>
      </c>
      <c r="F12" s="204">
        <v>4357.4472891654195</v>
      </c>
      <c r="G12" s="204">
        <v>1458.5814737236215</v>
      </c>
      <c r="H12" s="204">
        <v>5265.9730244059983</v>
      </c>
      <c r="I12" s="204">
        <v>36044.079999999994</v>
      </c>
    </row>
    <row r="13" spans="1:9">
      <c r="A13" s="199"/>
      <c r="B13" s="199"/>
      <c r="C13" s="199"/>
      <c r="D13" s="199"/>
      <c r="E13" s="199"/>
      <c r="F13" s="199"/>
      <c r="G13" s="199"/>
      <c r="H13" s="199"/>
      <c r="I13" s="199"/>
    </row>
  </sheetData>
  <mergeCells count="4">
    <mergeCell ref="A1:I1"/>
    <mergeCell ref="A2:I2"/>
    <mergeCell ref="A3:I3"/>
    <mergeCell ref="A4:I4"/>
  </mergeCells>
  <printOptions horizontalCentered="1"/>
  <pageMargins left="0.7" right="0.7" top="0.75" bottom="0.75" header="0.3" footer="0.3"/>
  <pageSetup scale="88" orientation="portrait"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workbookViewId="0">
      <selection activeCell="B49" sqref="B49"/>
    </sheetView>
  </sheetViews>
  <sheetFormatPr defaultColWidth="9.109375" defaultRowHeight="13.2"/>
  <cols>
    <col min="1" max="1" width="13.88671875" style="26" customWidth="1"/>
    <col min="2" max="2" width="17.44140625" style="26" bestFit="1" customWidth="1"/>
    <col min="3" max="3" width="15.88671875" style="26" customWidth="1"/>
    <col min="4" max="4" width="28.109375" style="26" customWidth="1"/>
    <col min="5" max="5" width="12.33203125" style="26" bestFit="1" customWidth="1"/>
    <col min="6" max="16384" width="9.109375" style="26"/>
  </cols>
  <sheetData>
    <row r="1" spans="1:5">
      <c r="A1" s="415" t="s">
        <v>0</v>
      </c>
      <c r="B1" s="415"/>
      <c r="C1" s="415"/>
      <c r="D1" s="415"/>
      <c r="E1" s="415"/>
    </row>
    <row r="2" spans="1:5">
      <c r="A2" s="415" t="s">
        <v>59</v>
      </c>
      <c r="B2" s="415"/>
      <c r="C2" s="415"/>
      <c r="D2" s="415"/>
      <c r="E2" s="415"/>
    </row>
    <row r="3" spans="1:5">
      <c r="A3" s="416" t="s">
        <v>661</v>
      </c>
      <c r="B3" s="415"/>
      <c r="C3" s="415"/>
      <c r="D3" s="415"/>
      <c r="E3" s="415"/>
    </row>
    <row r="5" spans="1:5" s="27" customFormat="1"/>
    <row r="6" spans="1:5" s="27" customFormat="1">
      <c r="A6" s="27" t="s">
        <v>60</v>
      </c>
      <c r="B6" s="27" t="s">
        <v>61</v>
      </c>
      <c r="C6" s="27" t="s">
        <v>62</v>
      </c>
      <c r="D6" s="27" t="s">
        <v>63</v>
      </c>
      <c r="E6" s="153" t="s">
        <v>580</v>
      </c>
    </row>
    <row r="7" spans="1:5">
      <c r="A7" s="26" t="s">
        <v>64</v>
      </c>
      <c r="B7" s="26" t="s">
        <v>65</v>
      </c>
      <c r="C7" s="26" t="s">
        <v>66</v>
      </c>
      <c r="D7" s="26" t="s">
        <v>67</v>
      </c>
      <c r="E7" s="30">
        <v>8695813.3100000005</v>
      </c>
    </row>
    <row r="8" spans="1:5">
      <c r="C8" s="26" t="s">
        <v>68</v>
      </c>
      <c r="D8" s="26" t="s">
        <v>69</v>
      </c>
      <c r="E8" s="30">
        <v>3986779</v>
      </c>
    </row>
    <row r="9" spans="1:5">
      <c r="C9" s="26" t="s">
        <v>70</v>
      </c>
      <c r="D9" s="26" t="s">
        <v>67</v>
      </c>
      <c r="E9" s="30">
        <v>-73428116.100000009</v>
      </c>
    </row>
    <row r="10" spans="1:5">
      <c r="C10" s="26" t="s">
        <v>71</v>
      </c>
      <c r="D10" s="26" t="s">
        <v>67</v>
      </c>
      <c r="E10" s="30">
        <v>-39538209.799999997</v>
      </c>
    </row>
    <row r="11" spans="1:5">
      <c r="C11" s="26" t="s">
        <v>72</v>
      </c>
      <c r="D11" s="26" t="s">
        <v>69</v>
      </c>
      <c r="E11" s="30">
        <v>-28785121.079999998</v>
      </c>
    </row>
    <row r="12" spans="1:5">
      <c r="B12" s="28" t="s">
        <v>73</v>
      </c>
      <c r="C12" s="28"/>
      <c r="D12" s="28"/>
      <c r="E12" s="31">
        <f>SUM(E7:E11)</f>
        <v>-129068854.67</v>
      </c>
    </row>
    <row r="13" spans="1:5">
      <c r="B13" s="26" t="s">
        <v>74</v>
      </c>
      <c r="C13" s="26" t="s">
        <v>75</v>
      </c>
      <c r="D13" s="26" t="s">
        <v>76</v>
      </c>
      <c r="E13" s="30">
        <v>112966325.98</v>
      </c>
    </row>
    <row r="14" spans="1:5">
      <c r="C14" s="26" t="s">
        <v>77</v>
      </c>
      <c r="D14" s="26" t="s">
        <v>78</v>
      </c>
      <c r="E14" s="30">
        <v>24798342</v>
      </c>
    </row>
    <row r="15" spans="1:5">
      <c r="C15" s="26" t="s">
        <v>79</v>
      </c>
      <c r="D15" s="26" t="s">
        <v>80</v>
      </c>
      <c r="E15" s="30">
        <v>-8695813.3100000005</v>
      </c>
    </row>
    <row r="16" spans="1:5">
      <c r="B16" s="28" t="s">
        <v>81</v>
      </c>
      <c r="C16" s="28"/>
      <c r="D16" s="28"/>
      <c r="E16" s="31">
        <f>SUM(E13:E15)</f>
        <v>129068854.67000002</v>
      </c>
    </row>
    <row r="17" spans="4:5">
      <c r="E17" s="30"/>
    </row>
    <row r="18" spans="4:5">
      <c r="D18" s="29" t="s">
        <v>82</v>
      </c>
      <c r="E18" s="32">
        <f>E7+E8</f>
        <v>12682592.310000001</v>
      </c>
    </row>
    <row r="19" spans="4:5">
      <c r="D19" s="29" t="s">
        <v>83</v>
      </c>
      <c r="E19" s="32">
        <f>E9</f>
        <v>-73428116.100000009</v>
      </c>
    </row>
    <row r="20" spans="4:5">
      <c r="D20" s="29" t="s">
        <v>84</v>
      </c>
      <c r="E20" s="32">
        <f>E10+E11</f>
        <v>-68323330.879999995</v>
      </c>
    </row>
  </sheetData>
  <mergeCells count="3">
    <mergeCell ref="A1:E1"/>
    <mergeCell ref="A2:E2"/>
    <mergeCell ref="A3:E3"/>
  </mergeCells>
  <phoneticPr fontId="38" type="noConversion"/>
  <pageMargins left="0.7" right="0.7" top="0.75" bottom="0.75" header="0.3" footer="0.3"/>
  <pageSetup orientation="portrait"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A47" sqref="A47"/>
    </sheetView>
  </sheetViews>
  <sheetFormatPr defaultColWidth="9.109375" defaultRowHeight="13.2"/>
  <cols>
    <col min="1" max="1" width="21" style="12" customWidth="1"/>
    <col min="2" max="2" width="9.6640625" style="12" bestFit="1" customWidth="1"/>
    <col min="3" max="3" width="8.109375" style="12" bestFit="1" customWidth="1"/>
    <col min="4" max="4" width="9.6640625" style="12" bestFit="1" customWidth="1"/>
    <col min="5" max="5" width="8.109375" style="12" bestFit="1" customWidth="1"/>
    <col min="6" max="6" width="4.88671875" style="12" bestFit="1" customWidth="1"/>
    <col min="7" max="7" width="10.6640625" style="12" bestFit="1" customWidth="1"/>
    <col min="8" max="8" width="3.109375" style="12" bestFit="1" customWidth="1"/>
    <col min="9" max="16384" width="9.109375" style="12"/>
  </cols>
  <sheetData>
    <row r="1" spans="1:8">
      <c r="A1" s="417" t="s">
        <v>32</v>
      </c>
      <c r="B1" s="417"/>
      <c r="C1" s="417"/>
      <c r="D1" s="417"/>
      <c r="E1" s="417"/>
      <c r="F1" s="417"/>
      <c r="G1" s="417"/>
      <c r="H1" s="417"/>
    </row>
    <row r="2" spans="1:8">
      <c r="A2" s="417" t="s">
        <v>33</v>
      </c>
      <c r="B2" s="417"/>
      <c r="C2" s="417"/>
      <c r="D2" s="417"/>
      <c r="E2" s="417"/>
      <c r="F2" s="417"/>
      <c r="G2" s="417"/>
      <c r="H2" s="417"/>
    </row>
    <row r="3" spans="1:8">
      <c r="A3" s="418">
        <v>41639</v>
      </c>
      <c r="B3" s="418"/>
      <c r="C3" s="418"/>
      <c r="D3" s="418"/>
      <c r="E3" s="418"/>
      <c r="F3" s="418"/>
      <c r="G3" s="418"/>
      <c r="H3" s="418"/>
    </row>
    <row r="5" spans="1:8" ht="13.8" thickBot="1"/>
    <row r="6" spans="1:8">
      <c r="B6" s="13" t="s">
        <v>34</v>
      </c>
      <c r="C6" s="14" t="s">
        <v>35</v>
      </c>
      <c r="D6" s="14" t="s">
        <v>36</v>
      </c>
      <c r="E6" s="14" t="s">
        <v>37</v>
      </c>
      <c r="F6" s="14" t="s">
        <v>38</v>
      </c>
      <c r="G6" s="15" t="s">
        <v>25</v>
      </c>
    </row>
    <row r="7" spans="1:8">
      <c r="A7" s="16" t="s">
        <v>39</v>
      </c>
      <c r="B7" s="78">
        <v>56045.95</v>
      </c>
      <c r="C7" s="79">
        <v>0</v>
      </c>
      <c r="D7" s="79"/>
      <c r="E7" s="79">
        <v>46221.48</v>
      </c>
      <c r="F7" s="79"/>
      <c r="G7" s="80">
        <v>90286.88</v>
      </c>
    </row>
    <row r="8" spans="1:8">
      <c r="A8" s="16" t="s">
        <v>40</v>
      </c>
      <c r="B8" s="78"/>
      <c r="C8" s="79"/>
      <c r="D8" s="79"/>
      <c r="E8" s="79"/>
      <c r="F8" s="79"/>
      <c r="G8" s="80">
        <v>1685485.95</v>
      </c>
    </row>
    <row r="9" spans="1:8">
      <c r="A9" s="16" t="s">
        <v>41</v>
      </c>
      <c r="B9" s="78">
        <v>77641.88</v>
      </c>
      <c r="C9" s="79"/>
      <c r="D9" s="79"/>
      <c r="E9" s="79"/>
      <c r="F9" s="79"/>
      <c r="G9" s="80"/>
    </row>
    <row r="10" spans="1:8">
      <c r="A10" s="12" t="s">
        <v>42</v>
      </c>
      <c r="B10" s="78">
        <v>558404.41999999993</v>
      </c>
      <c r="C10" s="79">
        <v>910772.82</v>
      </c>
      <c r="D10" s="79">
        <v>1493908.59</v>
      </c>
      <c r="E10" s="79">
        <v>63276.539999999994</v>
      </c>
      <c r="F10" s="79">
        <v>0</v>
      </c>
      <c r="G10" s="81">
        <v>8691151.9800000004</v>
      </c>
    </row>
    <row r="11" spans="1:8">
      <c r="A11" s="12" t="s">
        <v>43</v>
      </c>
      <c r="B11" s="78">
        <v>70091.19</v>
      </c>
      <c r="C11" s="79">
        <v>57844.13</v>
      </c>
      <c r="D11" s="79">
        <v>50196.409999999996</v>
      </c>
      <c r="E11" s="79">
        <v>110957.29</v>
      </c>
      <c r="F11" s="79">
        <v>0</v>
      </c>
      <c r="G11" s="80">
        <v>61457.71</v>
      </c>
    </row>
    <row r="12" spans="1:8">
      <c r="A12" s="12" t="s">
        <v>44</v>
      </c>
      <c r="B12" s="78">
        <v>0</v>
      </c>
      <c r="C12" s="79"/>
      <c r="D12" s="79"/>
      <c r="E12" s="79"/>
      <c r="F12" s="79"/>
      <c r="G12" s="80"/>
    </row>
    <row r="13" spans="1:8">
      <c r="A13" s="12" t="s">
        <v>45</v>
      </c>
      <c r="B13" s="78">
        <v>324584.77</v>
      </c>
      <c r="C13" s="79">
        <v>0</v>
      </c>
      <c r="D13" s="79"/>
      <c r="E13" s="79"/>
      <c r="F13" s="79">
        <v>0</v>
      </c>
      <c r="G13" s="80">
        <v>377255.67999999999</v>
      </c>
    </row>
    <row r="14" spans="1:8" ht="13.8" thickBot="1">
      <c r="A14" s="12" t="s">
        <v>46</v>
      </c>
      <c r="B14" s="82">
        <f t="shared" ref="B14:G14" si="0">SUM(B7:B13)</f>
        <v>1086768.21</v>
      </c>
      <c r="C14" s="82">
        <f t="shared" si="0"/>
        <v>968616.95</v>
      </c>
      <c r="D14" s="82">
        <f t="shared" si="0"/>
        <v>1544105</v>
      </c>
      <c r="E14" s="82">
        <f t="shared" si="0"/>
        <v>220455.31</v>
      </c>
      <c r="F14" s="82">
        <f t="shared" si="0"/>
        <v>0</v>
      </c>
      <c r="G14" s="83">
        <f t="shared" si="0"/>
        <v>10905638.200000001</v>
      </c>
      <c r="H14" s="16" t="s">
        <v>12</v>
      </c>
    </row>
    <row r="15" spans="1:8" ht="13.8" thickTop="1"/>
    <row r="16" spans="1:8">
      <c r="A16" s="12" t="s">
        <v>13</v>
      </c>
    </row>
    <row r="17" spans="1:1">
      <c r="A17" s="16" t="s">
        <v>47</v>
      </c>
    </row>
  </sheetData>
  <mergeCells count="3">
    <mergeCell ref="A1:H1"/>
    <mergeCell ref="A2:H2"/>
    <mergeCell ref="A3:H3"/>
  </mergeCells>
  <phoneticPr fontId="38" type="noConversion"/>
  <pageMargins left="0.7" right="0.7" top="0.75" bottom="0.75" header="0.3" footer="0.3"/>
  <pageSetup scale="95" orientation="portrait"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sqref="A1:G1"/>
    </sheetView>
  </sheetViews>
  <sheetFormatPr defaultRowHeight="14.4"/>
  <cols>
    <col min="1" max="1" width="19.109375" bestFit="1" customWidth="1"/>
    <col min="2" max="2" width="16.88671875" bestFit="1" customWidth="1"/>
    <col min="3" max="3" width="26.88671875" bestFit="1" customWidth="1"/>
    <col min="4" max="4" width="37.6640625" bestFit="1" customWidth="1"/>
    <col min="5" max="5" width="8.6640625" bestFit="1" customWidth="1"/>
    <col min="6" max="6" width="9.6640625" customWidth="1"/>
    <col min="8" max="8" width="9" bestFit="1" customWidth="1"/>
    <col min="9" max="9" width="10.109375" bestFit="1" customWidth="1"/>
  </cols>
  <sheetData>
    <row r="1" spans="1:9" s="199" customFormat="1" ht="13.2">
      <c r="A1" s="420" t="s">
        <v>0</v>
      </c>
      <c r="B1" s="420"/>
      <c r="C1" s="420"/>
      <c r="D1" s="420"/>
      <c r="E1" s="420"/>
      <c r="F1" s="420"/>
      <c r="G1" s="420"/>
      <c r="H1" s="229"/>
      <c r="I1" s="229"/>
    </row>
    <row r="2" spans="1:9" s="199" customFormat="1" ht="13.2">
      <c r="A2" s="420" t="s">
        <v>160</v>
      </c>
      <c r="B2" s="420"/>
      <c r="C2" s="420"/>
      <c r="D2" s="420"/>
      <c r="E2" s="420"/>
      <c r="F2" s="420"/>
      <c r="G2" s="420"/>
      <c r="H2" s="420"/>
      <c r="I2" s="420"/>
    </row>
    <row r="3" spans="1:9" s="199" customFormat="1" ht="13.2">
      <c r="A3" s="420" t="str">
        <f>'WP 2'!A3:E3</f>
        <v>For the Test Year Ended December 31, 2013</v>
      </c>
      <c r="B3" s="420"/>
      <c r="C3" s="420"/>
      <c r="D3" s="420"/>
      <c r="E3" s="420"/>
      <c r="F3" s="420"/>
      <c r="G3" s="420"/>
      <c r="H3" s="420"/>
      <c r="I3" s="420"/>
    </row>
    <row r="5" spans="1:9">
      <c r="A5" s="107" t="s">
        <v>152</v>
      </c>
      <c r="B5" s="107"/>
      <c r="C5" s="107"/>
      <c r="D5" s="107"/>
      <c r="E5" s="419" t="s">
        <v>62</v>
      </c>
      <c r="F5" s="419"/>
      <c r="G5" s="419"/>
      <c r="H5" s="154"/>
    </row>
    <row r="6" spans="1:9">
      <c r="A6" s="108" t="s">
        <v>153</v>
      </c>
      <c r="B6" s="108" t="s">
        <v>154</v>
      </c>
      <c r="C6" s="108" t="s">
        <v>155</v>
      </c>
      <c r="D6" s="108" t="s">
        <v>156</v>
      </c>
      <c r="E6" s="108" t="s">
        <v>157</v>
      </c>
      <c r="F6" s="108" t="s">
        <v>158</v>
      </c>
      <c r="G6" s="109" t="s">
        <v>159</v>
      </c>
    </row>
    <row r="7" spans="1:9">
      <c r="A7" s="103" t="s">
        <v>64</v>
      </c>
      <c r="B7" s="103" t="s">
        <v>140</v>
      </c>
      <c r="C7" s="103" t="s">
        <v>141</v>
      </c>
      <c r="D7" s="103" t="s">
        <v>142</v>
      </c>
      <c r="E7" s="104"/>
      <c r="F7" s="104">
        <v>59419.469999999987</v>
      </c>
    </row>
    <row r="8" spans="1:9">
      <c r="A8" s="103"/>
      <c r="B8" s="103"/>
      <c r="C8" s="103"/>
      <c r="D8" s="103" t="s">
        <v>600</v>
      </c>
      <c r="E8" s="155"/>
      <c r="F8" s="155">
        <v>7026.16</v>
      </c>
    </row>
    <row r="9" spans="1:9">
      <c r="A9" s="103"/>
      <c r="B9" s="103" t="s">
        <v>144</v>
      </c>
      <c r="C9" s="103"/>
      <c r="D9" s="103"/>
      <c r="E9" s="156">
        <f>E7+E8</f>
        <v>0</v>
      </c>
      <c r="F9" s="156">
        <f>F7+F8</f>
        <v>66445.62999999999</v>
      </c>
    </row>
    <row r="10" spans="1:9">
      <c r="A10" s="103"/>
      <c r="B10" s="103" t="s">
        <v>145</v>
      </c>
      <c r="C10" s="103" t="s">
        <v>146</v>
      </c>
      <c r="D10" s="103" t="s">
        <v>142</v>
      </c>
      <c r="E10" s="155"/>
      <c r="F10" s="155">
        <v>0</v>
      </c>
    </row>
    <row r="11" spans="1:9">
      <c r="A11" s="103"/>
      <c r="B11" s="103"/>
      <c r="C11" s="103"/>
      <c r="D11" s="103" t="s">
        <v>600</v>
      </c>
      <c r="E11" s="155"/>
      <c r="F11" s="155">
        <v>32039.200000000001</v>
      </c>
    </row>
    <row r="12" spans="1:9">
      <c r="A12" s="103"/>
      <c r="B12" s="103"/>
      <c r="C12" s="103"/>
      <c r="D12" s="103" t="s">
        <v>143</v>
      </c>
      <c r="E12" s="155">
        <v>3851.6</v>
      </c>
      <c r="F12" s="155"/>
    </row>
    <row r="13" spans="1:9">
      <c r="A13" s="103"/>
      <c r="B13" s="103"/>
      <c r="C13" s="103"/>
      <c r="D13" s="103" t="s">
        <v>601</v>
      </c>
      <c r="E13" s="155">
        <v>521.35</v>
      </c>
      <c r="F13" s="155"/>
    </row>
    <row r="14" spans="1:9">
      <c r="A14" s="103"/>
      <c r="B14" s="103" t="s">
        <v>147</v>
      </c>
      <c r="C14" s="103"/>
      <c r="D14" s="103"/>
      <c r="E14" s="156">
        <f>E10+E11+E12+E13</f>
        <v>4372.95</v>
      </c>
      <c r="F14" s="156">
        <f>F10+F11+F12+F13</f>
        <v>32039.200000000001</v>
      </c>
    </row>
    <row r="15" spans="1:9">
      <c r="A15" s="103"/>
      <c r="B15" s="103" t="s">
        <v>148</v>
      </c>
      <c r="C15" s="103" t="s">
        <v>149</v>
      </c>
      <c r="D15" s="103" t="s">
        <v>142</v>
      </c>
      <c r="E15" s="155"/>
      <c r="F15" s="155"/>
    </row>
    <row r="16" spans="1:9">
      <c r="A16" s="103"/>
      <c r="B16" s="103"/>
      <c r="C16" s="103"/>
      <c r="D16" s="103" t="s">
        <v>600</v>
      </c>
      <c r="E16" s="155"/>
      <c r="F16" s="155"/>
    </row>
    <row r="17" spans="1:7">
      <c r="A17" s="103"/>
      <c r="B17" s="103" t="s">
        <v>150</v>
      </c>
      <c r="C17" s="103"/>
      <c r="D17" s="103"/>
      <c r="E17" s="157">
        <f>E15+E16</f>
        <v>0</v>
      </c>
      <c r="F17" s="157">
        <f>F15+F16</f>
        <v>0</v>
      </c>
    </row>
    <row r="18" spans="1:7">
      <c r="A18" s="103"/>
      <c r="B18" s="103"/>
      <c r="C18" s="103"/>
      <c r="D18" s="103"/>
      <c r="E18" s="105"/>
      <c r="F18" s="105"/>
    </row>
    <row r="19" spans="1:7" ht="15" thickBot="1">
      <c r="A19" s="103" t="s">
        <v>151</v>
      </c>
      <c r="B19" s="103"/>
      <c r="C19" s="103"/>
      <c r="D19" s="103"/>
      <c r="E19" s="106">
        <f>E17+E14+E9</f>
        <v>4372.95</v>
      </c>
      <c r="F19" s="106">
        <f>F17+F14+F9</f>
        <v>98484.829999999987</v>
      </c>
      <c r="G19" s="106">
        <f>E19+F19</f>
        <v>102857.77999999998</v>
      </c>
    </row>
    <row r="20" spans="1:7" ht="15" thickTop="1"/>
    <row r="21" spans="1:7">
      <c r="A21" s="110" t="s">
        <v>675</v>
      </c>
    </row>
  </sheetData>
  <mergeCells count="6">
    <mergeCell ref="E5:G5"/>
    <mergeCell ref="A1:G1"/>
    <mergeCell ref="A2:G2"/>
    <mergeCell ref="H2:I2"/>
    <mergeCell ref="A3:G3"/>
    <mergeCell ref="H3:I3"/>
  </mergeCells>
  <phoneticPr fontId="38" type="noConversion"/>
  <pageMargins left="0.7" right="0.7" top="0.75" bottom="0.75" header="0.3" footer="0.3"/>
  <pageSetup scale="61"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opLeftCell="A7" workbookViewId="0">
      <selection activeCell="D32" sqref="D32"/>
    </sheetView>
  </sheetViews>
  <sheetFormatPr defaultColWidth="9.109375" defaultRowHeight="13.2"/>
  <cols>
    <col min="1" max="1" width="9.5546875" style="69" customWidth="1"/>
    <col min="2" max="2" width="16.88671875" style="69" bestFit="1" customWidth="1"/>
    <col min="3" max="3" width="23.109375" style="69" bestFit="1" customWidth="1"/>
    <col min="4" max="4" width="27.44140625" style="69" customWidth="1"/>
    <col min="5" max="5" width="9.109375" style="69"/>
    <col min="6" max="6" width="11.88671875" style="69" bestFit="1" customWidth="1"/>
    <col min="7" max="16384" width="9.109375" style="69"/>
  </cols>
  <sheetData>
    <row r="1" spans="1:4" s="218" customFormat="1">
      <c r="A1" s="421" t="s">
        <v>48</v>
      </c>
      <c r="B1" s="421"/>
      <c r="C1" s="421"/>
      <c r="D1" s="421"/>
    </row>
    <row r="2" spans="1:4" s="218" customFormat="1">
      <c r="A2" s="421" t="s">
        <v>660</v>
      </c>
      <c r="B2" s="421"/>
      <c r="C2" s="421"/>
      <c r="D2" s="421"/>
    </row>
    <row r="3" spans="1:4" s="218" customFormat="1">
      <c r="A3" s="421" t="s">
        <v>661</v>
      </c>
      <c r="B3" s="421"/>
      <c r="C3" s="421"/>
      <c r="D3" s="421"/>
    </row>
    <row r="5" spans="1:4" s="223" customFormat="1">
      <c r="B5" s="422" t="s">
        <v>120</v>
      </c>
      <c r="C5" s="422"/>
    </row>
    <row r="6" spans="1:4" s="223" customFormat="1">
      <c r="B6" s="224">
        <v>41275</v>
      </c>
      <c r="C6" s="224">
        <v>41639</v>
      </c>
      <c r="D6" s="225">
        <v>2013</v>
      </c>
    </row>
    <row r="7" spans="1:4" s="223" customFormat="1" ht="26.4">
      <c r="B7" s="226" t="s">
        <v>121</v>
      </c>
      <c r="C7" s="226" t="s">
        <v>121</v>
      </c>
      <c r="D7" s="226" t="s">
        <v>122</v>
      </c>
    </row>
    <row r="8" spans="1:4">
      <c r="A8" s="69" t="s">
        <v>34</v>
      </c>
      <c r="B8" s="72">
        <v>66591377</v>
      </c>
      <c r="C8" s="72">
        <v>59713147</v>
      </c>
      <c r="D8" s="70">
        <f>B8-C8</f>
        <v>6878230</v>
      </c>
    </row>
    <row r="9" spans="1:4">
      <c r="A9" s="69" t="s">
        <v>123</v>
      </c>
      <c r="B9" s="72">
        <v>215266267</v>
      </c>
      <c r="C9" s="72">
        <v>206168689</v>
      </c>
      <c r="D9" s="70">
        <f t="shared" ref="D9:D13" si="0">B9-C9</f>
        <v>9097578</v>
      </c>
    </row>
    <row r="10" spans="1:4">
      <c r="A10" s="69" t="s">
        <v>36</v>
      </c>
      <c r="B10" s="72">
        <v>181103341</v>
      </c>
      <c r="C10" s="72">
        <v>176712399</v>
      </c>
      <c r="D10" s="70">
        <f t="shared" si="0"/>
        <v>4390942</v>
      </c>
    </row>
    <row r="11" spans="1:4">
      <c r="A11" s="69" t="s">
        <v>37</v>
      </c>
      <c r="B11" s="72">
        <v>35715852</v>
      </c>
      <c r="C11" s="72">
        <v>33652302</v>
      </c>
      <c r="D11" s="70">
        <f t="shared" si="0"/>
        <v>2063550</v>
      </c>
    </row>
    <row r="12" spans="1:4">
      <c r="A12" s="69" t="s">
        <v>94</v>
      </c>
      <c r="B12" s="72">
        <v>11007597</v>
      </c>
      <c r="C12" s="72">
        <v>8564327</v>
      </c>
      <c r="D12" s="70">
        <f t="shared" si="0"/>
        <v>2443270</v>
      </c>
    </row>
    <row r="13" spans="1:4">
      <c r="A13" s="69" t="s">
        <v>25</v>
      </c>
      <c r="B13" s="72">
        <v>68977871</v>
      </c>
      <c r="C13" s="72">
        <v>66258902</v>
      </c>
      <c r="D13" s="70">
        <f t="shared" si="0"/>
        <v>2718969</v>
      </c>
    </row>
    <row r="14" spans="1:4" ht="13.8" thickBot="1">
      <c r="A14" s="69" t="s">
        <v>46</v>
      </c>
      <c r="B14" s="73">
        <f>SUM(B8:B13)</f>
        <v>578662305</v>
      </c>
      <c r="C14" s="73">
        <f>SUM(C8:C13)</f>
        <v>551069766</v>
      </c>
      <c r="D14" s="73">
        <f>SUM(D8:D13)</f>
        <v>27592539</v>
      </c>
    </row>
    <row r="15" spans="1:4" ht="13.8" thickTop="1"/>
    <row r="16" spans="1:4" ht="52.8">
      <c r="B16" s="219" t="s">
        <v>599</v>
      </c>
      <c r="C16" s="219" t="s">
        <v>124</v>
      </c>
      <c r="D16" s="219" t="s">
        <v>125</v>
      </c>
    </row>
    <row r="17" spans="1:6">
      <c r="A17" s="69" t="s">
        <v>34</v>
      </c>
      <c r="B17" s="72">
        <v>-2497506</v>
      </c>
      <c r="C17" s="74">
        <v>0.39229999999999998</v>
      </c>
      <c r="D17" s="70">
        <f>B17*C17*-1</f>
        <v>979771.60379999992</v>
      </c>
    </row>
    <row r="18" spans="1:6">
      <c r="A18" s="69" t="s">
        <v>123</v>
      </c>
      <c r="B18" s="72">
        <v>-2473008</v>
      </c>
      <c r="C18" s="74">
        <v>0.38479999999999998</v>
      </c>
      <c r="D18" s="70">
        <f t="shared" ref="D18:D22" si="1">B18*C18*-1</f>
        <v>951613.47839999991</v>
      </c>
      <c r="F18" s="248"/>
    </row>
    <row r="19" spans="1:6">
      <c r="A19" s="69" t="s">
        <v>36</v>
      </c>
      <c r="B19" s="72">
        <v>-2783638</v>
      </c>
      <c r="C19" s="74">
        <v>0.38479999999999998</v>
      </c>
      <c r="D19" s="70">
        <f t="shared" si="1"/>
        <v>1071143.9024</v>
      </c>
    </row>
    <row r="20" spans="1:6">
      <c r="A20" s="69" t="s">
        <v>37</v>
      </c>
      <c r="B20" s="72">
        <v>-1602833</v>
      </c>
      <c r="C20" s="74">
        <v>0.38250000000000001</v>
      </c>
      <c r="D20" s="70">
        <f t="shared" si="1"/>
        <v>613083.62250000006</v>
      </c>
    </row>
    <row r="21" spans="1:6">
      <c r="A21" s="69" t="s">
        <v>94</v>
      </c>
      <c r="B21" s="72">
        <v>-286044</v>
      </c>
      <c r="C21" s="74">
        <v>0.38479999999999998</v>
      </c>
      <c r="D21" s="70">
        <f t="shared" si="1"/>
        <v>110069.73119999999</v>
      </c>
    </row>
    <row r="22" spans="1:6">
      <c r="A22" s="69" t="s">
        <v>25</v>
      </c>
      <c r="B22" s="72">
        <v>-1082273</v>
      </c>
      <c r="C22" s="74">
        <v>0.35</v>
      </c>
      <c r="D22" s="70">
        <f t="shared" si="1"/>
        <v>378795.55</v>
      </c>
    </row>
    <row r="23" spans="1:6" ht="13.8" thickBot="1">
      <c r="A23" s="69" t="s">
        <v>46</v>
      </c>
      <c r="B23" s="73">
        <f>SUM(B17:B22)</f>
        <v>-10725302</v>
      </c>
      <c r="C23" s="75"/>
      <c r="D23" s="73">
        <f>SUM(D17:D22)</f>
        <v>4104477.8882999998</v>
      </c>
    </row>
    <row r="24" spans="1:6" ht="13.8" thickTop="1"/>
    <row r="25" spans="1:6">
      <c r="B25" s="220" t="s">
        <v>126</v>
      </c>
      <c r="C25" s="220" t="s">
        <v>126</v>
      </c>
      <c r="D25" s="220" t="s">
        <v>127</v>
      </c>
    </row>
    <row r="26" spans="1:6">
      <c r="B26" s="221">
        <v>41275</v>
      </c>
      <c r="C26" s="221">
        <v>41639</v>
      </c>
      <c r="D26" s="222">
        <v>2013</v>
      </c>
    </row>
    <row r="27" spans="1:6">
      <c r="A27" s="69" t="s">
        <v>34</v>
      </c>
      <c r="B27" s="72">
        <v>-607869</v>
      </c>
      <c r="C27" s="72">
        <v>-567484</v>
      </c>
      <c r="D27" s="70">
        <f>B27-C27</f>
        <v>-40385</v>
      </c>
    </row>
    <row r="28" spans="1:6">
      <c r="A28" s="69" t="s">
        <v>123</v>
      </c>
      <c r="B28" s="72">
        <v>-8430175</v>
      </c>
      <c r="C28" s="72">
        <v>-7853589</v>
      </c>
      <c r="D28" s="70">
        <f t="shared" ref="D28:D32" si="2">B28-C28</f>
        <v>-576586</v>
      </c>
    </row>
    <row r="29" spans="1:6">
      <c r="A29" s="69" t="s">
        <v>36</v>
      </c>
      <c r="B29" s="72">
        <v>-37424036</v>
      </c>
      <c r="C29" s="72">
        <v>-34828951</v>
      </c>
      <c r="D29" s="70">
        <f t="shared" si="2"/>
        <v>-2595085</v>
      </c>
    </row>
    <row r="30" spans="1:6">
      <c r="A30" s="69" t="s">
        <v>37</v>
      </c>
      <c r="B30" s="72">
        <v>-6032124</v>
      </c>
      <c r="C30" s="72">
        <v>-5718733</v>
      </c>
      <c r="D30" s="70">
        <f t="shared" si="2"/>
        <v>-313391</v>
      </c>
    </row>
    <row r="31" spans="1:6" ht="13.8" thickBot="1">
      <c r="A31" s="69" t="s">
        <v>94</v>
      </c>
      <c r="B31" s="72">
        <v>-2179499</v>
      </c>
      <c r="C31" s="72">
        <v>-1991540</v>
      </c>
      <c r="D31" s="70">
        <f t="shared" si="2"/>
        <v>-187959</v>
      </c>
    </row>
    <row r="32" spans="1:6" ht="13.8" thickBot="1">
      <c r="A32" s="71" t="s">
        <v>25</v>
      </c>
      <c r="B32" s="76">
        <v>2189010</v>
      </c>
      <c r="C32" s="76">
        <v>2317328</v>
      </c>
      <c r="D32" s="249">
        <f t="shared" si="2"/>
        <v>-128318</v>
      </c>
    </row>
    <row r="33" spans="1:4" ht="13.8" thickBot="1">
      <c r="A33" s="69" t="s">
        <v>46</v>
      </c>
      <c r="B33" s="77">
        <f>SUM(B27:B32)</f>
        <v>-52484693</v>
      </c>
      <c r="C33" s="77">
        <f>SUM(C27:C32)</f>
        <v>-48642969</v>
      </c>
      <c r="D33" s="77">
        <f>SUM(D27:D32)</f>
        <v>-3841724</v>
      </c>
    </row>
    <row r="34" spans="1:4" ht="13.8" thickTop="1"/>
    <row r="35" spans="1:4" ht="39.6">
      <c r="B35" s="220" t="s">
        <v>121</v>
      </c>
      <c r="C35" s="220" t="s">
        <v>128</v>
      </c>
      <c r="D35" s="220" t="s">
        <v>129</v>
      </c>
    </row>
    <row r="36" spans="1:4">
      <c r="B36" s="227">
        <v>41275</v>
      </c>
      <c r="C36" s="227">
        <v>41639</v>
      </c>
      <c r="D36" s="228">
        <v>2013</v>
      </c>
    </row>
    <row r="37" spans="1:4">
      <c r="A37" s="69" t="s">
        <v>34</v>
      </c>
      <c r="B37" s="72">
        <v>67199246</v>
      </c>
      <c r="C37" s="72">
        <v>59300859</v>
      </c>
      <c r="D37" s="70">
        <f>B37-C37</f>
        <v>7898387</v>
      </c>
    </row>
    <row r="38" spans="1:4">
      <c r="A38" s="69" t="s">
        <v>123</v>
      </c>
      <c r="B38" s="72">
        <v>223696442</v>
      </c>
      <c r="C38" s="72">
        <v>213070665</v>
      </c>
      <c r="D38" s="70">
        <f t="shared" ref="D38:D42" si="3">B38-C38</f>
        <v>10625777</v>
      </c>
    </row>
    <row r="39" spans="1:4">
      <c r="A39" s="69" t="s">
        <v>36</v>
      </c>
      <c r="B39" s="72">
        <v>218527377</v>
      </c>
      <c r="C39" s="72">
        <v>210470206</v>
      </c>
      <c r="D39" s="70">
        <f t="shared" si="3"/>
        <v>8057171</v>
      </c>
    </row>
    <row r="40" spans="1:4">
      <c r="A40" s="69" t="s">
        <v>37</v>
      </c>
      <c r="B40" s="72">
        <v>41747976</v>
      </c>
      <c r="C40" s="72">
        <v>38757951</v>
      </c>
      <c r="D40" s="70">
        <f t="shared" si="3"/>
        <v>2990025</v>
      </c>
    </row>
    <row r="41" spans="1:4" ht="13.8" thickBot="1">
      <c r="A41" s="69" t="s">
        <v>94</v>
      </c>
      <c r="B41" s="72">
        <v>13187096</v>
      </c>
      <c r="C41" s="72">
        <v>10445797</v>
      </c>
      <c r="D41" s="70">
        <f t="shared" si="3"/>
        <v>2741299</v>
      </c>
    </row>
    <row r="42" spans="1:4" ht="13.8" thickBot="1">
      <c r="A42" s="71" t="s">
        <v>25</v>
      </c>
      <c r="B42" s="76">
        <v>66788861</v>
      </c>
      <c r="C42" s="76">
        <v>63562778</v>
      </c>
      <c r="D42" s="249">
        <f t="shared" si="3"/>
        <v>3226083</v>
      </c>
    </row>
    <row r="43" spans="1:4" ht="13.8" thickBot="1">
      <c r="A43" s="69" t="s">
        <v>46</v>
      </c>
      <c r="B43" s="77">
        <f>SUM(B37:B42)</f>
        <v>631146998</v>
      </c>
      <c r="C43" s="77">
        <f>SUM(C37:C42)</f>
        <v>595608256</v>
      </c>
      <c r="D43" s="77">
        <f>SUM(D37:D42)</f>
        <v>35538742</v>
      </c>
    </row>
    <row r="44" spans="1:4" ht="13.8" thickTop="1">
      <c r="D44" s="70"/>
    </row>
  </sheetData>
  <mergeCells count="4">
    <mergeCell ref="A1:D1"/>
    <mergeCell ref="A3:D3"/>
    <mergeCell ref="A2:D2"/>
    <mergeCell ref="B5:C5"/>
  </mergeCells>
  <phoneticPr fontId="38" type="noConversion"/>
  <printOptions horizontalCentered="1"/>
  <pageMargins left="0.7" right="0.7" top="0.75" bottom="0.75" header="0.3" footer="0.3"/>
  <pageSetup orientation="portrait"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85" zoomScaleNormal="85" workbookViewId="0">
      <pane xSplit="1" ySplit="6" topLeftCell="B7" activePane="bottomRight" state="frozen"/>
      <selection pane="topRight"/>
      <selection pane="bottomLeft"/>
      <selection pane="bottomRight"/>
    </sheetView>
  </sheetViews>
  <sheetFormatPr defaultColWidth="9.109375" defaultRowHeight="13.2"/>
  <cols>
    <col min="1" max="1" width="21.109375" style="3" bestFit="1" customWidth="1"/>
    <col min="2" max="13" width="15.6640625" style="3" customWidth="1"/>
    <col min="14" max="16384" width="9.109375" style="3"/>
  </cols>
  <sheetData>
    <row r="1" spans="1:13">
      <c r="A1" s="1" t="s">
        <v>14</v>
      </c>
      <c r="B1" s="2"/>
      <c r="C1" s="2"/>
      <c r="D1" s="2"/>
      <c r="E1" s="2"/>
      <c r="F1" s="2"/>
      <c r="G1" s="2"/>
      <c r="H1" s="2"/>
      <c r="I1" s="2"/>
      <c r="J1" s="2"/>
      <c r="K1" s="2"/>
      <c r="L1" s="2"/>
      <c r="M1" s="2"/>
    </row>
    <row r="2" spans="1:13">
      <c r="A2" s="4" t="s">
        <v>15</v>
      </c>
      <c r="B2" s="2"/>
      <c r="C2" s="2"/>
      <c r="D2" s="2"/>
      <c r="E2" s="2"/>
      <c r="F2" s="2"/>
      <c r="G2" s="2"/>
      <c r="H2" s="2"/>
      <c r="I2" s="2"/>
      <c r="J2" s="2"/>
      <c r="K2" s="2"/>
      <c r="L2" s="2"/>
      <c r="M2" s="2"/>
    </row>
    <row r="3" spans="1:13">
      <c r="A3" s="4" t="str">
        <f>'WP 2'!A3:E3</f>
        <v>For the Test Year Ended December 31, 2013</v>
      </c>
      <c r="B3" s="2"/>
      <c r="C3" s="2"/>
      <c r="D3" s="2"/>
      <c r="E3" s="2"/>
      <c r="F3" s="2"/>
      <c r="G3" s="2"/>
      <c r="H3" s="2"/>
      <c r="I3" s="2"/>
      <c r="J3" s="2"/>
      <c r="K3" s="2"/>
      <c r="L3" s="2"/>
      <c r="M3" s="2"/>
    </row>
    <row r="4" spans="1:13">
      <c r="A4" s="5"/>
      <c r="B4" s="5"/>
      <c r="C4" s="5"/>
      <c r="D4" s="5"/>
      <c r="E4" s="5"/>
      <c r="F4" s="5"/>
      <c r="G4" s="5"/>
      <c r="H4" s="5"/>
      <c r="I4" s="5"/>
      <c r="J4" s="5"/>
      <c r="K4" s="5"/>
      <c r="L4" s="5"/>
      <c r="M4" s="5"/>
    </row>
    <row r="5" spans="1:13">
      <c r="A5" s="5"/>
      <c r="B5" s="5"/>
      <c r="C5" s="5"/>
      <c r="D5" s="5"/>
      <c r="E5" s="5"/>
      <c r="F5" s="5"/>
      <c r="G5" s="5"/>
      <c r="H5" s="5"/>
      <c r="I5" s="5"/>
      <c r="J5" s="5"/>
      <c r="K5" s="5"/>
      <c r="L5" s="5"/>
      <c r="M5" s="5"/>
    </row>
    <row r="6" spans="1:13">
      <c r="A6" s="6" t="s">
        <v>16</v>
      </c>
      <c r="B6" s="166">
        <v>41275</v>
      </c>
      <c r="C6" s="166">
        <v>41306</v>
      </c>
      <c r="D6" s="166">
        <v>41334</v>
      </c>
      <c r="E6" s="166">
        <v>41365</v>
      </c>
      <c r="F6" s="166">
        <v>41395</v>
      </c>
      <c r="G6" s="166">
        <v>41426</v>
      </c>
      <c r="H6" s="166">
        <v>41456</v>
      </c>
      <c r="I6" s="166">
        <v>41487</v>
      </c>
      <c r="J6" s="166">
        <v>41518</v>
      </c>
      <c r="K6" s="166">
        <v>41548</v>
      </c>
      <c r="L6" s="166">
        <v>41579</v>
      </c>
      <c r="M6" s="166">
        <v>41609</v>
      </c>
    </row>
    <row r="7" spans="1:13" ht="13.8" thickBot="1">
      <c r="A7" s="5"/>
      <c r="B7" s="5"/>
      <c r="C7" s="5"/>
      <c r="D7" s="5"/>
      <c r="E7" s="5"/>
      <c r="F7" s="5"/>
      <c r="G7" s="5"/>
      <c r="H7" s="5"/>
      <c r="I7" s="5"/>
      <c r="J7" s="5"/>
      <c r="K7" s="5"/>
      <c r="L7" s="5"/>
      <c r="M7" s="5"/>
    </row>
    <row r="8" spans="1:13" ht="13.8" thickBot="1">
      <c r="A8" s="7" t="s">
        <v>17</v>
      </c>
      <c r="B8" s="102">
        <v>15821325.340000002</v>
      </c>
      <c r="C8" s="102">
        <v>15821325.340000002</v>
      </c>
      <c r="D8" s="102">
        <v>15821325.340000002</v>
      </c>
      <c r="E8" s="102">
        <v>15771095.390000002</v>
      </c>
      <c r="F8" s="102">
        <v>15881727.070000002</v>
      </c>
      <c r="G8" s="102">
        <v>15969951.480000002</v>
      </c>
      <c r="H8" s="102">
        <v>15983362.180000002</v>
      </c>
      <c r="I8" s="102">
        <v>15986442.870000001</v>
      </c>
      <c r="J8" s="102">
        <v>16001939.24</v>
      </c>
      <c r="K8" s="102">
        <v>16015604.380000001</v>
      </c>
      <c r="L8" s="102">
        <v>16015604.380000001</v>
      </c>
      <c r="M8" s="244">
        <v>16015705.770000001</v>
      </c>
    </row>
    <row r="9" spans="1:13">
      <c r="A9" s="8" t="s">
        <v>18</v>
      </c>
      <c r="B9" s="9">
        <v>893044435.28999996</v>
      </c>
      <c r="C9" s="9">
        <v>895189323.46999991</v>
      </c>
      <c r="D9" s="9">
        <v>900483094.6099999</v>
      </c>
      <c r="E9" s="9">
        <v>902531990.36999989</v>
      </c>
      <c r="F9" s="9">
        <v>909949654.75999987</v>
      </c>
      <c r="G9" s="9">
        <v>914445446.58999991</v>
      </c>
      <c r="H9" s="9">
        <v>916521626.21999991</v>
      </c>
      <c r="I9" s="9">
        <v>900542166.91999996</v>
      </c>
      <c r="J9" s="9">
        <v>896202702.37</v>
      </c>
      <c r="K9" s="9">
        <v>900656620.87</v>
      </c>
      <c r="L9" s="9">
        <v>913063995.13999999</v>
      </c>
      <c r="M9" s="9">
        <v>925618499.15999997</v>
      </c>
    </row>
    <row r="10" spans="1:13" ht="13.8" thickBot="1">
      <c r="A10" s="5" t="s">
        <v>19</v>
      </c>
      <c r="B10" s="230">
        <f>SUM(B8:B9)</f>
        <v>908865760.63</v>
      </c>
      <c r="C10" s="230">
        <f t="shared" ref="C10:M10" si="0">SUM(C8:C9)</f>
        <v>911010648.80999994</v>
      </c>
      <c r="D10" s="230">
        <f t="shared" si="0"/>
        <v>916304419.94999993</v>
      </c>
      <c r="E10" s="230">
        <f t="shared" si="0"/>
        <v>918303085.75999987</v>
      </c>
      <c r="F10" s="230">
        <f t="shared" si="0"/>
        <v>925831381.82999992</v>
      </c>
      <c r="G10" s="230">
        <f t="shared" si="0"/>
        <v>930415398.06999993</v>
      </c>
      <c r="H10" s="230">
        <f t="shared" si="0"/>
        <v>932504988.39999986</v>
      </c>
      <c r="I10" s="230">
        <f t="shared" si="0"/>
        <v>916528609.78999996</v>
      </c>
      <c r="J10" s="230">
        <f t="shared" si="0"/>
        <v>912204641.61000001</v>
      </c>
      <c r="K10" s="230">
        <f t="shared" si="0"/>
        <v>916672225.25</v>
      </c>
      <c r="L10" s="230">
        <f t="shared" si="0"/>
        <v>929079599.51999998</v>
      </c>
      <c r="M10" s="230">
        <f t="shared" si="0"/>
        <v>941634204.92999995</v>
      </c>
    </row>
    <row r="11" spans="1:13" ht="13.8" thickTop="1">
      <c r="A11" s="10"/>
      <c r="M11" s="101"/>
    </row>
    <row r="12" spans="1:13">
      <c r="A12" s="10"/>
    </row>
    <row r="13" spans="1:13">
      <c r="A13" s="10"/>
    </row>
    <row r="14" spans="1:13">
      <c r="A14" s="10"/>
    </row>
  </sheetData>
  <phoneticPr fontId="38" type="noConversion"/>
  <pageMargins left="0.7" right="0.7" top="0.75" bottom="0.75" header="0.3" footer="0.3"/>
  <pageSetup scale="58"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F19" sqref="F19"/>
    </sheetView>
  </sheetViews>
  <sheetFormatPr defaultColWidth="9.109375" defaultRowHeight="14.4"/>
  <cols>
    <col min="1" max="1" width="7.109375" style="35" customWidth="1"/>
    <col min="2" max="2" width="11.5546875" style="35" bestFit="1" customWidth="1"/>
    <col min="3" max="3" width="11.109375" style="35" bestFit="1" customWidth="1"/>
    <col min="4" max="4" width="13.33203125" style="35" bestFit="1" customWidth="1"/>
    <col min="5" max="5" width="12.5546875" style="35" bestFit="1" customWidth="1"/>
    <col min="6" max="6" width="11.33203125" style="35" bestFit="1" customWidth="1"/>
    <col min="7" max="7" width="1.33203125" style="35" customWidth="1"/>
    <col min="8" max="8" width="14.6640625" style="35" bestFit="1" customWidth="1"/>
    <col min="9" max="9" width="1.33203125" style="35" customWidth="1"/>
    <col min="10" max="10" width="11.5546875" style="35" bestFit="1" customWidth="1"/>
    <col min="11" max="16384" width="9.109375" style="35"/>
  </cols>
  <sheetData>
    <row r="1" spans="1:10">
      <c r="A1" s="421" t="s">
        <v>0</v>
      </c>
      <c r="B1" s="421"/>
      <c r="C1" s="421"/>
      <c r="D1" s="421"/>
      <c r="E1" s="421"/>
      <c r="F1" s="421"/>
      <c r="G1" s="421"/>
      <c r="H1" s="421"/>
      <c r="I1" s="421"/>
      <c r="J1" s="421"/>
    </row>
    <row r="2" spans="1:10">
      <c r="A2" s="421" t="s">
        <v>89</v>
      </c>
      <c r="B2" s="421"/>
      <c r="C2" s="421"/>
      <c r="D2" s="421"/>
      <c r="E2" s="421"/>
      <c r="F2" s="421"/>
      <c r="G2" s="421"/>
      <c r="H2" s="421"/>
      <c r="I2" s="421"/>
      <c r="J2" s="421"/>
    </row>
    <row r="3" spans="1:10">
      <c r="A3" s="421" t="str">
        <f>'WP 2'!A3:E3</f>
        <v>For the Test Year Ended December 31, 2013</v>
      </c>
      <c r="B3" s="421"/>
      <c r="C3" s="421"/>
      <c r="D3" s="421"/>
      <c r="E3" s="421"/>
      <c r="F3" s="421"/>
      <c r="G3" s="421"/>
      <c r="H3" s="421"/>
      <c r="I3" s="421"/>
      <c r="J3" s="421" t="s">
        <v>12</v>
      </c>
    </row>
    <row r="4" spans="1:10">
      <c r="A4" s="33"/>
      <c r="B4" s="33"/>
      <c r="C4" s="33"/>
      <c r="D4" s="33"/>
      <c r="E4" s="33"/>
      <c r="F4" s="33"/>
      <c r="G4" s="33"/>
      <c r="H4" s="33"/>
      <c r="I4" s="33"/>
      <c r="J4" s="34" t="s">
        <v>12</v>
      </c>
    </row>
    <row r="5" spans="1:10" ht="15" thickBot="1">
      <c r="A5" s="33"/>
      <c r="B5" s="423" t="s">
        <v>85</v>
      </c>
      <c r="C5" s="423"/>
      <c r="D5" s="423"/>
      <c r="E5" s="424"/>
      <c r="F5" s="423"/>
      <c r="G5" s="33"/>
      <c r="H5" s="36" t="s">
        <v>86</v>
      </c>
      <c r="I5" s="33"/>
      <c r="J5" s="37" t="s">
        <v>46</v>
      </c>
    </row>
    <row r="6" spans="1:10">
      <c r="A6" s="33"/>
      <c r="B6" s="37" t="s">
        <v>43</v>
      </c>
      <c r="C6" s="37" t="s">
        <v>87</v>
      </c>
      <c r="D6" s="37" t="s">
        <v>88</v>
      </c>
      <c r="E6" s="38" t="s">
        <v>42</v>
      </c>
      <c r="F6" s="37" t="s">
        <v>58</v>
      </c>
      <c r="G6" s="33"/>
      <c r="H6" s="37" t="s">
        <v>43</v>
      </c>
      <c r="I6" s="37"/>
      <c r="J6" s="39" t="s">
        <v>89</v>
      </c>
    </row>
    <row r="7" spans="1:10">
      <c r="A7" s="40" t="s">
        <v>34</v>
      </c>
      <c r="B7" s="41">
        <v>1578325.1500000018</v>
      </c>
      <c r="C7" s="41">
        <v>6266.3</v>
      </c>
      <c r="D7" s="41">
        <v>328620.55000000005</v>
      </c>
      <c r="E7" s="42">
        <v>42032.84</v>
      </c>
      <c r="F7" s="41">
        <f>SUM(B7:E7)</f>
        <v>1955244.8400000019</v>
      </c>
      <c r="G7" s="41"/>
      <c r="H7" s="43">
        <v>3848628.6599999997</v>
      </c>
      <c r="I7" s="41"/>
      <c r="J7" s="41">
        <f>F7+H7</f>
        <v>5803873.5000000019</v>
      </c>
    </row>
    <row r="8" spans="1:10">
      <c r="A8" s="40" t="s">
        <v>36</v>
      </c>
      <c r="B8" s="41">
        <v>2039966.1800000006</v>
      </c>
      <c r="C8" s="41">
        <v>141184.84999999998</v>
      </c>
      <c r="D8" s="41">
        <v>72931.939999999988</v>
      </c>
      <c r="E8" s="44">
        <v>1067022.7100000002</v>
      </c>
      <c r="F8" s="41">
        <f t="shared" ref="F8:F12" si="0">SUM(B8:E8)</f>
        <v>3321105.6800000006</v>
      </c>
      <c r="G8" s="41"/>
      <c r="H8" s="43">
        <v>5465637.7700000005</v>
      </c>
      <c r="I8" s="41"/>
      <c r="J8" s="41">
        <f t="shared" ref="J8:J12" si="1">F8+H8</f>
        <v>8786743.4500000011</v>
      </c>
    </row>
    <row r="9" spans="1:10">
      <c r="A9" s="40" t="s">
        <v>35</v>
      </c>
      <c r="B9" s="41">
        <v>0</v>
      </c>
      <c r="C9" s="41">
        <v>130287.99</v>
      </c>
      <c r="D9" s="41">
        <v>200809.83</v>
      </c>
      <c r="E9" s="44">
        <v>5000</v>
      </c>
      <c r="F9" s="41">
        <f t="shared" si="0"/>
        <v>336097.82</v>
      </c>
      <c r="G9" s="41"/>
      <c r="H9" s="43">
        <v>3022572.26</v>
      </c>
      <c r="I9" s="41"/>
      <c r="J9" s="41">
        <f t="shared" si="1"/>
        <v>3358670.0799999996</v>
      </c>
    </row>
    <row r="10" spans="1:10">
      <c r="A10" s="40" t="s">
        <v>37</v>
      </c>
      <c r="B10" s="41">
        <v>1714985.8999999992</v>
      </c>
      <c r="C10" s="41">
        <v>93059.98</v>
      </c>
      <c r="D10" s="41">
        <v>446671.47999999992</v>
      </c>
      <c r="E10" s="44">
        <v>3344.42</v>
      </c>
      <c r="F10" s="41">
        <f t="shared" si="0"/>
        <v>2258061.7799999989</v>
      </c>
      <c r="G10" s="41"/>
      <c r="H10" s="43">
        <v>5168058.8999999994</v>
      </c>
      <c r="I10" s="41"/>
      <c r="J10" s="41">
        <f t="shared" si="1"/>
        <v>7426120.6799999978</v>
      </c>
    </row>
    <row r="11" spans="1:10">
      <c r="A11" s="45" t="s">
        <v>38</v>
      </c>
      <c r="B11" s="41">
        <v>0</v>
      </c>
      <c r="C11" s="41">
        <v>44799.950000000012</v>
      </c>
      <c r="D11" s="41">
        <v>4575.2700000000004</v>
      </c>
      <c r="E11" s="44">
        <v>1049038.57</v>
      </c>
      <c r="F11" s="41">
        <f t="shared" si="0"/>
        <v>1098413.79</v>
      </c>
      <c r="G11" s="41"/>
      <c r="H11" s="43">
        <v>646721.58000000007</v>
      </c>
      <c r="I11" s="41"/>
      <c r="J11" s="41">
        <f t="shared" si="1"/>
        <v>1745135.37</v>
      </c>
    </row>
    <row r="12" spans="1:10">
      <c r="A12" s="40" t="s">
        <v>25</v>
      </c>
      <c r="B12" s="41">
        <v>61275.120000000017</v>
      </c>
      <c r="C12" s="41">
        <v>7400</v>
      </c>
      <c r="D12" s="41">
        <v>516631.65000000008</v>
      </c>
      <c r="E12" s="46">
        <v>162372.33000000002</v>
      </c>
      <c r="F12" s="41">
        <f t="shared" si="0"/>
        <v>747679.10000000009</v>
      </c>
      <c r="G12" s="41"/>
      <c r="H12" s="43">
        <v>2866938.7800000003</v>
      </c>
      <c r="I12" s="41"/>
      <c r="J12" s="41">
        <f t="shared" si="1"/>
        <v>3614617.8800000004</v>
      </c>
    </row>
    <row r="13" spans="1:10" ht="15" thickBot="1">
      <c r="A13" s="33"/>
      <c r="B13" s="47">
        <f>SUM(B7:B12)</f>
        <v>5394552.3500000015</v>
      </c>
      <c r="C13" s="47">
        <f t="shared" ref="C13:F13" si="2">SUM(C7:C12)</f>
        <v>422999.06999999995</v>
      </c>
      <c r="D13" s="47">
        <f t="shared" si="2"/>
        <v>1570240.7200000002</v>
      </c>
      <c r="E13" s="48">
        <f t="shared" si="2"/>
        <v>2328810.87</v>
      </c>
      <c r="F13" s="47">
        <f t="shared" si="2"/>
        <v>9716603.0099999998</v>
      </c>
      <c r="G13" s="41"/>
      <c r="H13" s="49">
        <f>SUM(H7:H12)</f>
        <v>21018557.950000003</v>
      </c>
      <c r="I13" s="41"/>
      <c r="J13" s="47">
        <f>SUM(J7:J12)</f>
        <v>30735160.960000001</v>
      </c>
    </row>
    <row r="14" spans="1:10" ht="15" thickTop="1">
      <c r="A14" s="33"/>
      <c r="B14" s="33"/>
      <c r="C14" s="33"/>
      <c r="D14" s="33"/>
      <c r="E14" s="33"/>
      <c r="F14" s="33"/>
      <c r="G14" s="33"/>
      <c r="H14" s="50"/>
      <c r="I14" s="33"/>
      <c r="J14" s="33"/>
    </row>
    <row r="15" spans="1:10">
      <c r="A15" s="51" t="s">
        <v>90</v>
      </c>
      <c r="B15" s="33"/>
      <c r="C15" s="33"/>
      <c r="D15" s="33"/>
      <c r="E15" s="33"/>
      <c r="F15" s="33"/>
      <c r="G15" s="33"/>
      <c r="H15" s="33"/>
      <c r="I15" s="33"/>
      <c r="J15" s="33"/>
    </row>
  </sheetData>
  <mergeCells count="4">
    <mergeCell ref="B5:F5"/>
    <mergeCell ref="A1:J1"/>
    <mergeCell ref="A2:J2"/>
    <mergeCell ref="A3:J3"/>
  </mergeCells>
  <phoneticPr fontId="38" type="noConversion"/>
  <pageMargins left="0.7" right="0.7" top="0.75" bottom="0.75" header="0.3" footer="0.3"/>
  <pageSetup scale="94" orientation="portrait"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Normal="100" workbookViewId="0">
      <selection activeCell="C5" sqref="C5"/>
    </sheetView>
  </sheetViews>
  <sheetFormatPr defaultColWidth="9.109375" defaultRowHeight="13.2"/>
  <cols>
    <col min="1" max="1" width="57.109375" style="17" customWidth="1"/>
    <col min="2" max="2" width="2.6640625" style="17" customWidth="1"/>
    <col min="3" max="3" width="19" style="20" customWidth="1"/>
    <col min="4" max="4" width="3.44140625" style="17" bestFit="1" customWidth="1"/>
    <col min="5" max="5" width="9.109375" style="17"/>
    <col min="6" max="6" width="10.33203125" style="17" bestFit="1" customWidth="1"/>
    <col min="7" max="16384" width="9.109375" style="17"/>
  </cols>
  <sheetData>
    <row r="1" spans="1:4">
      <c r="A1" s="426" t="s">
        <v>0</v>
      </c>
      <c r="B1" s="427"/>
      <c r="C1" s="427"/>
    </row>
    <row r="2" spans="1:4">
      <c r="A2" s="427" t="s">
        <v>692</v>
      </c>
      <c r="B2" s="427"/>
      <c r="C2" s="427"/>
    </row>
    <row r="3" spans="1:4">
      <c r="A3" s="426" t="str">
        <f>'WP 2'!A3:E3</f>
        <v>For the Test Year Ended December 31, 2013</v>
      </c>
      <c r="B3" s="427"/>
      <c r="C3" s="427"/>
    </row>
    <row r="4" spans="1:4">
      <c r="C4" s="296"/>
      <c r="D4" s="296"/>
    </row>
    <row r="5" spans="1:4" s="250" customFormat="1">
      <c r="A5" s="250" t="s">
        <v>695</v>
      </c>
      <c r="C5" s="366">
        <f>-'WP 8a'!H20</f>
        <v>2261911.9200000004</v>
      </c>
      <c r="D5" s="19" t="s">
        <v>139</v>
      </c>
    </row>
    <row r="6" spans="1:4" s="250" customFormat="1">
      <c r="C6" s="363"/>
    </row>
    <row r="7" spans="1:4">
      <c r="A7" s="364" t="s">
        <v>1</v>
      </c>
      <c r="B7" s="296"/>
      <c r="C7" s="365">
        <v>235006.75</v>
      </c>
    </row>
    <row r="8" spans="1:4">
      <c r="A8" s="364" t="s">
        <v>607</v>
      </c>
      <c r="B8" s="296"/>
      <c r="C8" s="365">
        <v>13491206.930000015</v>
      </c>
    </row>
    <row r="9" spans="1:4">
      <c r="A9" s="364" t="s">
        <v>2</v>
      </c>
      <c r="B9" s="296"/>
      <c r="C9" s="365">
        <v>372502.39000000019</v>
      </c>
    </row>
    <row r="10" spans="1:4">
      <c r="A10" s="364" t="s">
        <v>3</v>
      </c>
      <c r="B10" s="296"/>
      <c r="C10" s="365">
        <v>2156840.2499999991</v>
      </c>
    </row>
    <row r="11" spans="1:4">
      <c r="A11" s="364" t="s">
        <v>4</v>
      </c>
      <c r="B11" s="296"/>
      <c r="C11" s="365">
        <v>6849753.209999999</v>
      </c>
    </row>
    <row r="12" spans="1:4">
      <c r="A12" s="364" t="s">
        <v>608</v>
      </c>
      <c r="B12" s="296"/>
      <c r="C12" s="365">
        <v>6473.63</v>
      </c>
    </row>
    <row r="13" spans="1:4">
      <c r="A13" s="364" t="s">
        <v>609</v>
      </c>
      <c r="B13" s="296"/>
      <c r="C13" s="365">
        <v>63964.98</v>
      </c>
    </row>
    <row r="14" spans="1:4">
      <c r="A14" s="364" t="s">
        <v>610</v>
      </c>
      <c r="B14" s="296"/>
      <c r="C14" s="365">
        <v>6883.93</v>
      </c>
    </row>
    <row r="15" spans="1:4">
      <c r="A15" s="364" t="s">
        <v>611</v>
      </c>
      <c r="B15" s="296"/>
      <c r="C15" s="365">
        <v>543587.35</v>
      </c>
    </row>
    <row r="16" spans="1:4">
      <c r="A16" s="364" t="s">
        <v>8</v>
      </c>
      <c r="B16" s="18"/>
      <c r="C16" s="365">
        <v>578302.55000000005</v>
      </c>
    </row>
    <row r="17" spans="1:6">
      <c r="A17" s="364" t="s">
        <v>5</v>
      </c>
      <c r="B17" s="18"/>
      <c r="C17" s="365">
        <v>103134.84999999999</v>
      </c>
    </row>
    <row r="18" spans="1:6">
      <c r="A18" s="364" t="s">
        <v>6</v>
      </c>
      <c r="B18" s="18"/>
      <c r="C18" s="365">
        <v>614687.03000000049</v>
      </c>
    </row>
    <row r="19" spans="1:6">
      <c r="A19" s="364" t="s">
        <v>9</v>
      </c>
      <c r="B19" s="18"/>
      <c r="C19" s="365">
        <v>23595.75</v>
      </c>
    </row>
    <row r="20" spans="1:6">
      <c r="A20" s="364" t="s">
        <v>10</v>
      </c>
      <c r="B20" s="18"/>
      <c r="C20" s="365">
        <v>36480.419999999991</v>
      </c>
    </row>
    <row r="21" spans="1:6">
      <c r="A21" s="364" t="s">
        <v>615</v>
      </c>
      <c r="B21" s="18"/>
      <c r="C21" s="365">
        <v>36313</v>
      </c>
    </row>
    <row r="22" spans="1:6">
      <c r="A22" s="364" t="s">
        <v>7</v>
      </c>
      <c r="B22" s="18"/>
      <c r="C22" s="365">
        <v>579066.56999999995</v>
      </c>
    </row>
    <row r="23" spans="1:6">
      <c r="A23" s="364" t="s">
        <v>612</v>
      </c>
      <c r="B23" s="296"/>
      <c r="C23" s="365">
        <v>46094.35</v>
      </c>
    </row>
    <row r="24" spans="1:6">
      <c r="A24" s="364" t="s">
        <v>613</v>
      </c>
      <c r="B24" s="18"/>
      <c r="C24" s="365">
        <v>7794.66</v>
      </c>
    </row>
    <row r="25" spans="1:6" ht="13.8" thickBot="1">
      <c r="A25" s="281" t="s">
        <v>11</v>
      </c>
      <c r="C25" s="231">
        <f>SUM(C7:C24)</f>
        <v>25751688.600000024</v>
      </c>
      <c r="D25" s="19" t="s">
        <v>622</v>
      </c>
      <c r="F25" s="282"/>
    </row>
    <row r="26" spans="1:6" ht="13.8" thickTop="1"/>
    <row r="28" spans="1:6">
      <c r="A28" s="17" t="s">
        <v>701</v>
      </c>
    </row>
    <row r="29" spans="1:6" ht="59.25" customHeight="1">
      <c r="A29" s="425" t="s">
        <v>696</v>
      </c>
      <c r="B29" s="425"/>
      <c r="C29" s="425"/>
    </row>
    <row r="30" spans="1:6" ht="16.5" customHeight="1">
      <c r="A30" s="425" t="s">
        <v>705</v>
      </c>
      <c r="B30" s="425"/>
      <c r="C30" s="425"/>
    </row>
    <row r="31" spans="1:6">
      <c r="A31" s="425" t="s">
        <v>706</v>
      </c>
      <c r="B31" s="425"/>
      <c r="C31" s="425"/>
    </row>
  </sheetData>
  <mergeCells count="6">
    <mergeCell ref="A31:C31"/>
    <mergeCell ref="A30:C30"/>
    <mergeCell ref="A1:C1"/>
    <mergeCell ref="A2:C2"/>
    <mergeCell ref="A3:C3"/>
    <mergeCell ref="A29:C29"/>
  </mergeCells>
  <phoneticPr fontId="38" type="noConversion"/>
  <printOptions horizontalCentered="1"/>
  <pageMargins left="0.7" right="0.7" top="0.75" bottom="0.98" header="0.3" footer="0.67"/>
  <pageSetup orientation="portrait"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Index</vt:lpstr>
      <vt:lpstr>WP 1</vt:lpstr>
      <vt:lpstr>WP 2</vt:lpstr>
      <vt:lpstr>WP 3</vt:lpstr>
      <vt:lpstr>WP 4</vt:lpstr>
      <vt:lpstr>WP 5</vt:lpstr>
      <vt:lpstr>WP 6</vt:lpstr>
      <vt:lpstr>WP 7</vt:lpstr>
      <vt:lpstr>WP 8</vt:lpstr>
      <vt:lpstr>WP 8a</vt:lpstr>
      <vt:lpstr>WP 9</vt:lpstr>
      <vt:lpstr>WP 10</vt:lpstr>
      <vt:lpstr>WP 10a</vt:lpstr>
      <vt:lpstr>WP 11</vt:lpstr>
      <vt:lpstr>WP 12</vt:lpstr>
      <vt:lpstr>WP 13</vt:lpstr>
      <vt:lpstr>WP 13a</vt:lpstr>
      <vt:lpstr>WP 14</vt:lpstr>
      <vt:lpstr>WP 15</vt:lpstr>
      <vt:lpstr>WP 16</vt:lpstr>
      <vt:lpstr>WP 17</vt:lpstr>
      <vt:lpstr>'WP 1'!Print_Area</vt:lpstr>
      <vt:lpstr>'WP 10'!Print_Area</vt:lpstr>
      <vt:lpstr>'WP 10a'!Print_Area</vt:lpstr>
      <vt:lpstr>'WP 11'!Print_Area</vt:lpstr>
      <vt:lpstr>'WP 13'!Print_Area</vt:lpstr>
      <vt:lpstr>'WP 8a'!Print_Area</vt:lpstr>
    </vt:vector>
  </TitlesOfParts>
  <Company>Entergy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atucke6</dc:creator>
  <cp:lastModifiedBy>lsande2</cp:lastModifiedBy>
  <cp:lastPrinted>2014-05-25T00:16:29Z</cp:lastPrinted>
  <dcterms:created xsi:type="dcterms:W3CDTF">2013-05-17T18:44:01Z</dcterms:created>
  <dcterms:modified xsi:type="dcterms:W3CDTF">2014-05-30T15:22:06Z</dcterms:modified>
</cp:coreProperties>
</file>